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cun\OneDrive\Desktop\Devize blocuri aprilie 26\"/>
    </mc:Choice>
  </mc:AlternateContent>
  <xr:revisionPtr revIDLastSave="0" documentId="13_ncr:1_{53A5749F-8C9C-4013-A57C-6008050071F5}" xr6:coauthVersionLast="47" xr6:coauthVersionMax="47" xr10:uidLastSave="{00000000-0000-0000-0000-000000000000}"/>
  <bookViews>
    <workbookView xWindow="-120" yWindow="-120" windowWidth="29040" windowHeight="15720" activeTab="12" xr2:uid="{00000000-000D-0000-FFFF-FFFF00000000}"/>
  </bookViews>
  <sheets>
    <sheet name="bloc 36" sheetId="2" r:id="rId1"/>
    <sheet name="bloc 37" sheetId="3" r:id="rId2"/>
    <sheet name="bloc 38" sheetId="4" r:id="rId3"/>
    <sheet name="bloc 39" sheetId="16" r:id="rId4"/>
    <sheet name="bloc40" sheetId="17" r:id="rId5"/>
    <sheet name="bloc 41" sheetId="18" r:id="rId6"/>
    <sheet name="bloc 42" sheetId="19" r:id="rId7"/>
    <sheet name="bloc 43" sheetId="20" r:id="rId8"/>
    <sheet name="bloc 44" sheetId="21" r:id="rId9"/>
    <sheet name="bloc 45" sheetId="22" r:id="rId10"/>
    <sheet name="bloc 46" sheetId="23" r:id="rId11"/>
    <sheet name="bloc 47" sheetId="24" r:id="rId12"/>
    <sheet name="Deviz general" sheetId="25" r:id="rId13"/>
  </sheets>
  <definedNames>
    <definedName name="_xlnm.Print_Area" localSheetId="0">'bloc 36'!$A$2:$K$91</definedName>
  </definedNames>
  <calcPr calcId="191029"/>
</workbook>
</file>

<file path=xl/calcChain.xml><?xml version="1.0" encoding="utf-8"?>
<calcChain xmlns="http://schemas.openxmlformats.org/spreadsheetml/2006/main">
  <c r="D49" i="20" l="1"/>
  <c r="D48" i="20" s="1"/>
  <c r="D49" i="19"/>
  <c r="K84" i="22"/>
  <c r="D48" i="21"/>
  <c r="K84" i="21"/>
  <c r="D54" i="24"/>
  <c r="D53" i="23"/>
  <c r="D52" i="23"/>
  <c r="D53" i="22"/>
  <c r="D52" i="22"/>
  <c r="D53" i="21"/>
  <c r="D52" i="21"/>
  <c r="D53" i="20"/>
  <c r="D52" i="20"/>
  <c r="D53" i="19"/>
  <c r="D52" i="19"/>
  <c r="D48" i="18"/>
  <c r="K84" i="18"/>
  <c r="D53" i="18"/>
  <c r="D52" i="18"/>
  <c r="K84" i="17"/>
  <c r="C85" i="2"/>
  <c r="D85" i="17"/>
  <c r="D48" i="17"/>
  <c r="D53" i="17"/>
  <c r="D52" i="17"/>
  <c r="F55" i="4"/>
  <c r="F50" i="4"/>
  <c r="F54" i="4"/>
  <c r="E55" i="16"/>
  <c r="E54" i="16"/>
  <c r="D56" i="3"/>
  <c r="D51" i="3"/>
  <c r="E84" i="2"/>
  <c r="H84" i="2"/>
  <c r="I84" i="2"/>
  <c r="J84" i="2"/>
  <c r="C48" i="2"/>
  <c r="C60" i="2"/>
  <c r="C53" i="2"/>
  <c r="C55" i="2"/>
  <c r="D27" i="24" l="1"/>
  <c r="D51" i="23"/>
  <c r="D50" i="23"/>
  <c r="D49" i="23"/>
  <c r="D26" i="23"/>
  <c r="D51" i="22"/>
  <c r="D50" i="22"/>
  <c r="D49" i="22"/>
  <c r="D26" i="22"/>
  <c r="D51" i="21"/>
  <c r="D50" i="21"/>
  <c r="D49" i="21"/>
  <c r="D26" i="21"/>
  <c r="D51" i="20"/>
  <c r="D50" i="20"/>
  <c r="D26" i="20"/>
  <c r="D51" i="19"/>
  <c r="D50" i="19"/>
  <c r="D26" i="19"/>
  <c r="D51" i="18"/>
  <c r="D50" i="18"/>
  <c r="D49" i="18"/>
  <c r="D26" i="18"/>
  <c r="D51" i="17"/>
  <c r="D50" i="17"/>
  <c r="D49" i="17"/>
  <c r="D26" i="17"/>
  <c r="E53" i="16"/>
  <c r="E52" i="16"/>
  <c r="E28" i="16"/>
  <c r="F53" i="4"/>
  <c r="F52" i="4"/>
  <c r="F28" i="4"/>
  <c r="D54" i="3"/>
  <c r="D29" i="3"/>
  <c r="C26" i="2" l="1"/>
  <c r="G80" i="25"/>
  <c r="G81" i="25" s="1"/>
  <c r="H80" i="25"/>
  <c r="H81" i="25" s="1"/>
  <c r="I80" i="25"/>
  <c r="F80" i="25"/>
  <c r="F81" i="25" s="1"/>
  <c r="J81" i="25" s="1"/>
  <c r="J82" i="20"/>
  <c r="E73" i="25"/>
  <c r="F73" i="25"/>
  <c r="G73" i="25"/>
  <c r="D61" i="25"/>
  <c r="E61" i="25"/>
  <c r="F61" i="25"/>
  <c r="G61" i="25"/>
  <c r="H61" i="25"/>
  <c r="J61" i="25"/>
  <c r="D62" i="25"/>
  <c r="E62" i="25"/>
  <c r="F62" i="25"/>
  <c r="G62" i="25"/>
  <c r="H62" i="25"/>
  <c r="J62" i="25"/>
  <c r="E63" i="25"/>
  <c r="F63" i="25"/>
  <c r="G63" i="25"/>
  <c r="H63" i="25"/>
  <c r="J63" i="25"/>
  <c r="D64" i="25"/>
  <c r="E64" i="25"/>
  <c r="F64" i="25"/>
  <c r="G64" i="25"/>
  <c r="H64" i="25"/>
  <c r="J64" i="25"/>
  <c r="E65" i="25"/>
  <c r="F65" i="25"/>
  <c r="G65" i="25"/>
  <c r="H65" i="25"/>
  <c r="I65" i="25"/>
  <c r="J65" i="25"/>
  <c r="E66" i="25"/>
  <c r="F66" i="25"/>
  <c r="G66" i="25"/>
  <c r="H66" i="25"/>
  <c r="I66" i="25"/>
  <c r="J66" i="25"/>
  <c r="E67" i="25"/>
  <c r="F67" i="25"/>
  <c r="G67" i="25"/>
  <c r="H67" i="25"/>
  <c r="I67" i="25"/>
  <c r="J67" i="25"/>
  <c r="D68" i="25"/>
  <c r="E68" i="25"/>
  <c r="F68" i="25"/>
  <c r="G68" i="25"/>
  <c r="H68" i="25"/>
  <c r="J68" i="25"/>
  <c r="D69" i="25"/>
  <c r="E69" i="25"/>
  <c r="F69" i="25"/>
  <c r="G69" i="25"/>
  <c r="H69" i="25"/>
  <c r="I69" i="25"/>
  <c r="D70" i="25"/>
  <c r="E70" i="25"/>
  <c r="F70" i="25"/>
  <c r="G70" i="25"/>
  <c r="H70" i="25"/>
  <c r="D71" i="25"/>
  <c r="E71" i="25"/>
  <c r="F71" i="25"/>
  <c r="G71" i="25"/>
  <c r="H71" i="25"/>
  <c r="J71" i="25"/>
  <c r="D72" i="25"/>
  <c r="E72" i="25"/>
  <c r="F72" i="25"/>
  <c r="G72" i="25"/>
  <c r="H72" i="25"/>
  <c r="I72" i="25"/>
  <c r="E60" i="25"/>
  <c r="F60" i="25"/>
  <c r="G60" i="25"/>
  <c r="H60" i="25"/>
  <c r="J60" i="25"/>
  <c r="D60" i="25"/>
  <c r="D47" i="25"/>
  <c r="E47" i="25"/>
  <c r="F47" i="25"/>
  <c r="G47" i="25"/>
  <c r="H47" i="25"/>
  <c r="I47" i="25"/>
  <c r="D48" i="25"/>
  <c r="E48" i="25"/>
  <c r="F48" i="25"/>
  <c r="G48" i="25"/>
  <c r="H48" i="25"/>
  <c r="I48" i="25"/>
  <c r="D49" i="25"/>
  <c r="E49" i="25"/>
  <c r="F49" i="25"/>
  <c r="G49" i="25"/>
  <c r="H49" i="25"/>
  <c r="I49" i="25"/>
  <c r="D50" i="25"/>
  <c r="E50" i="25"/>
  <c r="F50" i="25"/>
  <c r="G50" i="25"/>
  <c r="H50" i="25"/>
  <c r="I50" i="25"/>
  <c r="E51" i="25"/>
  <c r="F51" i="25"/>
  <c r="G51" i="25"/>
  <c r="H51" i="25"/>
  <c r="I51" i="25"/>
  <c r="D52" i="25"/>
  <c r="E52" i="25"/>
  <c r="F52" i="25"/>
  <c r="G52" i="25"/>
  <c r="H52" i="25"/>
  <c r="I52" i="25"/>
  <c r="E53" i="25"/>
  <c r="F53" i="25"/>
  <c r="G53" i="25"/>
  <c r="H53" i="25"/>
  <c r="I53" i="25"/>
  <c r="D54" i="25"/>
  <c r="E54" i="25"/>
  <c r="F54" i="25"/>
  <c r="G54" i="25"/>
  <c r="H54" i="25"/>
  <c r="I54" i="25"/>
  <c r="D55" i="25"/>
  <c r="E55" i="25"/>
  <c r="F55" i="25"/>
  <c r="G55" i="25"/>
  <c r="H55" i="25"/>
  <c r="D56" i="25"/>
  <c r="E56" i="25"/>
  <c r="F56" i="25"/>
  <c r="G56" i="25"/>
  <c r="H56" i="25"/>
  <c r="D57" i="25"/>
  <c r="E57" i="25"/>
  <c r="F57" i="25"/>
  <c r="G57" i="25"/>
  <c r="H57" i="25"/>
  <c r="E58" i="25"/>
  <c r="F58" i="25"/>
  <c r="G58" i="25"/>
  <c r="I58" i="25"/>
  <c r="E46" i="25"/>
  <c r="F46" i="25"/>
  <c r="G46" i="25"/>
  <c r="H46" i="25"/>
  <c r="I46" i="25"/>
  <c r="E44" i="25"/>
  <c r="G44" i="25"/>
  <c r="E42" i="25"/>
  <c r="F42" i="25"/>
  <c r="G42" i="25"/>
  <c r="H42" i="25"/>
  <c r="I42" i="25"/>
  <c r="E41" i="25"/>
  <c r="F41" i="25"/>
  <c r="G41" i="25"/>
  <c r="H41" i="25"/>
  <c r="I41" i="25"/>
  <c r="E40" i="25"/>
  <c r="F40" i="25"/>
  <c r="G40" i="25"/>
  <c r="H40" i="25"/>
  <c r="I40" i="25"/>
  <c r="E39" i="25"/>
  <c r="F39" i="25"/>
  <c r="G39" i="25"/>
  <c r="H39" i="25"/>
  <c r="I39" i="25"/>
  <c r="E38" i="25"/>
  <c r="F38" i="25"/>
  <c r="G38" i="25"/>
  <c r="H38" i="25"/>
  <c r="I38" i="25"/>
  <c r="G37" i="25"/>
  <c r="H37" i="25"/>
  <c r="I37" i="25"/>
  <c r="F36" i="25"/>
  <c r="J36" i="25" s="1"/>
  <c r="K36" i="25" s="1"/>
  <c r="F37" i="25"/>
  <c r="G35" i="25"/>
  <c r="H35" i="25"/>
  <c r="I35" i="25"/>
  <c r="F35" i="25"/>
  <c r="G34" i="25"/>
  <c r="H34" i="25"/>
  <c r="J34" i="25"/>
  <c r="F34" i="25"/>
  <c r="D19" i="25"/>
  <c r="I19" i="25" s="1"/>
  <c r="D20" i="25"/>
  <c r="I20" i="25" s="1"/>
  <c r="K20" i="25" s="1"/>
  <c r="D21" i="25"/>
  <c r="I21" i="25" s="1"/>
  <c r="K21" i="25" s="1"/>
  <c r="D22" i="25"/>
  <c r="I22" i="25" s="1"/>
  <c r="D23" i="25"/>
  <c r="I23" i="25" s="1"/>
  <c r="D25" i="25"/>
  <c r="I25" i="25" s="1"/>
  <c r="K25" i="25" s="1"/>
  <c r="D26" i="25"/>
  <c r="J26" i="25" s="1"/>
  <c r="K26" i="25" s="1"/>
  <c r="D28" i="25"/>
  <c r="I28" i="25" s="1"/>
  <c r="K28" i="25" s="1"/>
  <c r="D29" i="25"/>
  <c r="I29" i="25" s="1"/>
  <c r="K29" i="25" s="1"/>
  <c r="D30" i="25"/>
  <c r="I30" i="25" s="1"/>
  <c r="D31" i="25"/>
  <c r="I31" i="25" s="1"/>
  <c r="K31" i="25" s="1"/>
  <c r="D32" i="25"/>
  <c r="I32" i="25" s="1"/>
  <c r="K32" i="25" s="1"/>
  <c r="D33" i="25"/>
  <c r="I33" i="25" s="1"/>
  <c r="K33" i="25" s="1"/>
  <c r="D34" i="25"/>
  <c r="D35" i="25"/>
  <c r="D36" i="25"/>
  <c r="I36" i="25" s="1"/>
  <c r="D37" i="25"/>
  <c r="D39" i="25"/>
  <c r="D40" i="25"/>
  <c r="D41" i="25"/>
  <c r="D43" i="25"/>
  <c r="I43" i="25" s="1"/>
  <c r="D18" i="25"/>
  <c r="I18" i="25" s="1"/>
  <c r="K18" i="25" s="1"/>
  <c r="D81" i="25"/>
  <c r="I79" i="25"/>
  <c r="K79" i="25" s="1"/>
  <c r="H83" i="25" l="1"/>
  <c r="I81" i="25"/>
  <c r="G83" i="25"/>
  <c r="F83" i="25"/>
  <c r="G82" i="25"/>
  <c r="E83" i="25"/>
  <c r="E82" i="25"/>
  <c r="K23" i="25"/>
  <c r="D24" i="25"/>
  <c r="I24" i="25" s="1"/>
  <c r="K81" i="25"/>
  <c r="K30" i="25"/>
  <c r="K22" i="25"/>
  <c r="K43" i="25"/>
  <c r="K19" i="25"/>
  <c r="H47" i="24"/>
  <c r="F47" i="24"/>
  <c r="D47" i="24"/>
  <c r="J46" i="24"/>
  <c r="K46" i="24" s="1"/>
  <c r="J45" i="24"/>
  <c r="K45" i="24" s="1"/>
  <c r="J44" i="24"/>
  <c r="K44" i="24" s="1"/>
  <c r="J43" i="24"/>
  <c r="K43" i="24" s="1"/>
  <c r="J42" i="24"/>
  <c r="K42" i="24" s="1"/>
  <c r="J41" i="24"/>
  <c r="K41" i="24" s="1"/>
  <c r="D41" i="24"/>
  <c r="J40" i="24"/>
  <c r="K40" i="24" s="1"/>
  <c r="J39" i="24"/>
  <c r="K39" i="24" s="1"/>
  <c r="J38" i="24"/>
  <c r="K38" i="24" s="1"/>
  <c r="I37" i="24"/>
  <c r="I36" i="24"/>
  <c r="K36" i="24" s="1"/>
  <c r="I35" i="24"/>
  <c r="K35" i="24" s="1"/>
  <c r="I34" i="24"/>
  <c r="K34" i="24" s="1"/>
  <c r="I33" i="24"/>
  <c r="K33" i="24" s="1"/>
  <c r="I32" i="24"/>
  <c r="K32" i="24" s="1"/>
  <c r="I31" i="24"/>
  <c r="K31" i="24" s="1"/>
  <c r="D30" i="24"/>
  <c r="I30" i="24" s="1"/>
  <c r="K30" i="24" s="1"/>
  <c r="J29" i="24"/>
  <c r="K29" i="24" s="1"/>
  <c r="I28" i="24"/>
  <c r="K28" i="24" s="1"/>
  <c r="K27" i="24" s="1"/>
  <c r="I26" i="24"/>
  <c r="K26" i="24" s="1"/>
  <c r="I25" i="24"/>
  <c r="K25" i="24" s="1"/>
  <c r="I24" i="24"/>
  <c r="K24" i="24" s="1"/>
  <c r="I23" i="24"/>
  <c r="K23" i="24" s="1"/>
  <c r="I22" i="24"/>
  <c r="K22" i="24" s="1"/>
  <c r="I21" i="24"/>
  <c r="K21" i="24" s="1"/>
  <c r="H46" i="23"/>
  <c r="F46" i="23"/>
  <c r="J45" i="23"/>
  <c r="K45" i="23" s="1"/>
  <c r="J44" i="23"/>
  <c r="K44" i="23" s="1"/>
  <c r="J43" i="23"/>
  <c r="K43" i="23" s="1"/>
  <c r="J42" i="23"/>
  <c r="K42" i="23" s="1"/>
  <c r="J41" i="23"/>
  <c r="K41" i="23" s="1"/>
  <c r="D40" i="23"/>
  <c r="J39" i="23"/>
  <c r="K39" i="23" s="1"/>
  <c r="J38" i="23"/>
  <c r="K38" i="23" s="1"/>
  <c r="J37" i="23"/>
  <c r="K37" i="23" s="1"/>
  <c r="K36" i="23"/>
  <c r="I36" i="23"/>
  <c r="I35" i="23"/>
  <c r="K35" i="23" s="1"/>
  <c r="K34" i="23"/>
  <c r="I34" i="23"/>
  <c r="I33" i="23"/>
  <c r="K33" i="23" s="1"/>
  <c r="I32" i="23"/>
  <c r="K32" i="23" s="1"/>
  <c r="I31" i="23"/>
  <c r="K31" i="23" s="1"/>
  <c r="I30" i="23"/>
  <c r="K30" i="23" s="1"/>
  <c r="D29" i="23"/>
  <c r="I29" i="23" s="1"/>
  <c r="K29" i="23" s="1"/>
  <c r="J28" i="23"/>
  <c r="K28" i="23" s="1"/>
  <c r="I27" i="23"/>
  <c r="K27" i="23" s="1"/>
  <c r="I25" i="23"/>
  <c r="K25" i="23" s="1"/>
  <c r="I24" i="23"/>
  <c r="K24" i="23" s="1"/>
  <c r="I23" i="23"/>
  <c r="K23" i="23" s="1"/>
  <c r="I22" i="23"/>
  <c r="K22" i="23" s="1"/>
  <c r="I21" i="23"/>
  <c r="K21" i="23" s="1"/>
  <c r="I20" i="23"/>
  <c r="K20" i="23" s="1"/>
  <c r="H46" i="22"/>
  <c r="F46" i="22"/>
  <c r="J45" i="22"/>
  <c r="K45" i="22" s="1"/>
  <c r="J44" i="22"/>
  <c r="K44" i="22" s="1"/>
  <c r="J43" i="22"/>
  <c r="K43" i="22" s="1"/>
  <c r="K42" i="22"/>
  <c r="J42" i="22"/>
  <c r="J41" i="22"/>
  <c r="K41" i="22" s="1"/>
  <c r="D40" i="22"/>
  <c r="J40" i="22" s="1"/>
  <c r="K39" i="22"/>
  <c r="J39" i="22"/>
  <c r="J38" i="22"/>
  <c r="K38" i="22" s="1"/>
  <c r="J37" i="22"/>
  <c r="K37" i="22" s="1"/>
  <c r="I36" i="22"/>
  <c r="K36" i="22" s="1"/>
  <c r="I35" i="22"/>
  <c r="K35" i="22" s="1"/>
  <c r="I34" i="22"/>
  <c r="K34" i="22" s="1"/>
  <c r="I33" i="22"/>
  <c r="K33" i="22" s="1"/>
  <c r="I32" i="22"/>
  <c r="K32" i="22" s="1"/>
  <c r="K31" i="22"/>
  <c r="I31" i="22"/>
  <c r="I30" i="22"/>
  <c r="K30" i="22" s="1"/>
  <c r="I29" i="22"/>
  <c r="K29" i="22" s="1"/>
  <c r="D29" i="22"/>
  <c r="J28" i="22"/>
  <c r="K28" i="22" s="1"/>
  <c r="K26" i="22" s="1"/>
  <c r="K27" i="22"/>
  <c r="I27" i="22"/>
  <c r="I26" i="22" s="1"/>
  <c r="I25" i="22"/>
  <c r="K25" i="22" s="1"/>
  <c r="I24" i="22"/>
  <c r="K24" i="22" s="1"/>
  <c r="I23" i="22"/>
  <c r="K23" i="22" s="1"/>
  <c r="I22" i="22"/>
  <c r="K22" i="22" s="1"/>
  <c r="I21" i="22"/>
  <c r="K21" i="22" s="1"/>
  <c r="I20" i="22"/>
  <c r="K20" i="22" s="1"/>
  <c r="I20" i="21"/>
  <c r="K20" i="21" s="1"/>
  <c r="I21" i="21"/>
  <c r="K21" i="21"/>
  <c r="I22" i="21"/>
  <c r="K22" i="21"/>
  <c r="I23" i="21"/>
  <c r="K23" i="21"/>
  <c r="I24" i="21"/>
  <c r="K24" i="21"/>
  <c r="I25" i="21"/>
  <c r="K25" i="21"/>
  <c r="I27" i="21"/>
  <c r="K27" i="21"/>
  <c r="J28" i="21"/>
  <c r="K28" i="21"/>
  <c r="D29" i="21"/>
  <c r="I29" i="21"/>
  <c r="I30" i="21"/>
  <c r="K30" i="21"/>
  <c r="I31" i="21"/>
  <c r="K31" i="21" s="1"/>
  <c r="I32" i="21"/>
  <c r="K32" i="21" s="1"/>
  <c r="I33" i="21"/>
  <c r="K33" i="21" s="1"/>
  <c r="I34" i="21"/>
  <c r="K34" i="21"/>
  <c r="I35" i="21"/>
  <c r="K35" i="21" s="1"/>
  <c r="I36" i="21"/>
  <c r="K36" i="21" s="1"/>
  <c r="J37" i="21"/>
  <c r="J38" i="21"/>
  <c r="K38" i="21" s="1"/>
  <c r="J39" i="21"/>
  <c r="K39" i="21" s="1"/>
  <c r="D40" i="21"/>
  <c r="D46" i="21" s="1"/>
  <c r="J41" i="21"/>
  <c r="K41" i="21"/>
  <c r="J42" i="21"/>
  <c r="K42" i="21"/>
  <c r="J43" i="21"/>
  <c r="K43" i="21"/>
  <c r="J44" i="21"/>
  <c r="K44" i="21"/>
  <c r="J45" i="21"/>
  <c r="K45" i="21"/>
  <c r="F46" i="21"/>
  <c r="H46" i="21"/>
  <c r="H46" i="20"/>
  <c r="F46" i="20"/>
  <c r="J45" i="20"/>
  <c r="K45" i="20" s="1"/>
  <c r="J44" i="20"/>
  <c r="K44" i="20" s="1"/>
  <c r="J43" i="20"/>
  <c r="K43" i="20" s="1"/>
  <c r="J42" i="20"/>
  <c r="K42" i="20" s="1"/>
  <c r="J41" i="20"/>
  <c r="K41" i="20" s="1"/>
  <c r="D40" i="20"/>
  <c r="J39" i="20"/>
  <c r="K39" i="20" s="1"/>
  <c r="K38" i="20"/>
  <c r="J38" i="20"/>
  <c r="K37" i="20"/>
  <c r="J37" i="20"/>
  <c r="I36" i="20"/>
  <c r="K36" i="20" s="1"/>
  <c r="I35" i="20"/>
  <c r="K35" i="20" s="1"/>
  <c r="K34" i="20"/>
  <c r="I34" i="20"/>
  <c r="I33" i="20"/>
  <c r="K33" i="20" s="1"/>
  <c r="I32" i="20"/>
  <c r="K32" i="20" s="1"/>
  <c r="I31" i="20"/>
  <c r="K31" i="20" s="1"/>
  <c r="I30" i="20"/>
  <c r="K30" i="20" s="1"/>
  <c r="D29" i="20"/>
  <c r="I29" i="20" s="1"/>
  <c r="K29" i="20" s="1"/>
  <c r="J28" i="20"/>
  <c r="K28" i="20" s="1"/>
  <c r="I27" i="20"/>
  <c r="K27" i="20" s="1"/>
  <c r="K26" i="20" s="1"/>
  <c r="I25" i="20"/>
  <c r="K25" i="20" s="1"/>
  <c r="I24" i="20"/>
  <c r="K24" i="20" s="1"/>
  <c r="I23" i="20"/>
  <c r="K23" i="20" s="1"/>
  <c r="I22" i="20"/>
  <c r="K22" i="20" s="1"/>
  <c r="I21" i="20"/>
  <c r="K21" i="20" s="1"/>
  <c r="I20" i="20"/>
  <c r="K20" i="20" s="1"/>
  <c r="H46" i="19"/>
  <c r="F46" i="19"/>
  <c r="J45" i="19"/>
  <c r="K45" i="19" s="1"/>
  <c r="J44" i="19"/>
  <c r="K44" i="19" s="1"/>
  <c r="J43" i="19"/>
  <c r="K43" i="19" s="1"/>
  <c r="J42" i="19"/>
  <c r="K42" i="19" s="1"/>
  <c r="J41" i="19"/>
  <c r="K41" i="19" s="1"/>
  <c r="J40" i="19"/>
  <c r="D40" i="19"/>
  <c r="J39" i="19"/>
  <c r="K39" i="19" s="1"/>
  <c r="K38" i="19"/>
  <c r="J38" i="19"/>
  <c r="K37" i="19"/>
  <c r="J37" i="19"/>
  <c r="I36" i="19"/>
  <c r="K36" i="19" s="1"/>
  <c r="I35" i="19"/>
  <c r="K35" i="19" s="1"/>
  <c r="K34" i="19"/>
  <c r="I34" i="19"/>
  <c r="I33" i="19"/>
  <c r="K33" i="19" s="1"/>
  <c r="I32" i="19"/>
  <c r="K32" i="19" s="1"/>
  <c r="I31" i="19"/>
  <c r="K31" i="19" s="1"/>
  <c r="I30" i="19"/>
  <c r="K30" i="19" s="1"/>
  <c r="D29" i="19"/>
  <c r="I29" i="19" s="1"/>
  <c r="K29" i="19" s="1"/>
  <c r="J28" i="19"/>
  <c r="K28" i="19" s="1"/>
  <c r="I27" i="19"/>
  <c r="K27" i="19" s="1"/>
  <c r="I25" i="19"/>
  <c r="K25" i="19" s="1"/>
  <c r="I24" i="19"/>
  <c r="K24" i="19" s="1"/>
  <c r="I23" i="19"/>
  <c r="K23" i="19" s="1"/>
  <c r="I22" i="19"/>
  <c r="K22" i="19" s="1"/>
  <c r="I21" i="19"/>
  <c r="K21" i="19" s="1"/>
  <c r="I20" i="19"/>
  <c r="K20" i="19" s="1"/>
  <c r="H46" i="18"/>
  <c r="F46" i="18"/>
  <c r="J45" i="18"/>
  <c r="K45" i="18" s="1"/>
  <c r="J44" i="18"/>
  <c r="K44" i="18" s="1"/>
  <c r="K43" i="18"/>
  <c r="J43" i="18"/>
  <c r="J42" i="18"/>
  <c r="K42" i="18" s="1"/>
  <c r="J41" i="18"/>
  <c r="K41" i="18" s="1"/>
  <c r="D40" i="18"/>
  <c r="J39" i="18"/>
  <c r="K39" i="18" s="1"/>
  <c r="J38" i="18"/>
  <c r="K38" i="18" s="1"/>
  <c r="K37" i="18"/>
  <c r="J37" i="18"/>
  <c r="I36" i="18"/>
  <c r="K36" i="18" s="1"/>
  <c r="I35" i="18"/>
  <c r="K35" i="18" s="1"/>
  <c r="K34" i="18"/>
  <c r="I34" i="18"/>
  <c r="I33" i="18"/>
  <c r="K33" i="18" s="1"/>
  <c r="I32" i="18"/>
  <c r="K32" i="18" s="1"/>
  <c r="I31" i="18"/>
  <c r="K31" i="18" s="1"/>
  <c r="K30" i="18"/>
  <c r="I30" i="18"/>
  <c r="D29" i="18"/>
  <c r="I29" i="18" s="1"/>
  <c r="K29" i="18" s="1"/>
  <c r="J28" i="18"/>
  <c r="K28" i="18" s="1"/>
  <c r="I27" i="18"/>
  <c r="K27" i="18" s="1"/>
  <c r="I26" i="18"/>
  <c r="I25" i="18"/>
  <c r="K25" i="18" s="1"/>
  <c r="K24" i="18"/>
  <c r="I24" i="18"/>
  <c r="I23" i="18"/>
  <c r="K23" i="18" s="1"/>
  <c r="I22" i="18"/>
  <c r="K22" i="18" s="1"/>
  <c r="I21" i="18"/>
  <c r="K21" i="18" s="1"/>
  <c r="I20" i="18"/>
  <c r="K20" i="18" s="1"/>
  <c r="H46" i="17"/>
  <c r="F46" i="17"/>
  <c r="J45" i="17"/>
  <c r="K45" i="17" s="1"/>
  <c r="J44" i="17"/>
  <c r="K44" i="17" s="1"/>
  <c r="J43" i="17"/>
  <c r="K43" i="17" s="1"/>
  <c r="J42" i="17"/>
  <c r="K42" i="17" s="1"/>
  <c r="J41" i="17"/>
  <c r="K41" i="17" s="1"/>
  <c r="D40" i="17"/>
  <c r="J39" i="17"/>
  <c r="K39" i="17" s="1"/>
  <c r="J38" i="17"/>
  <c r="K38" i="17" s="1"/>
  <c r="J37" i="17"/>
  <c r="K37" i="17" s="1"/>
  <c r="I36" i="17"/>
  <c r="I35" i="17"/>
  <c r="K35" i="17" s="1"/>
  <c r="I34" i="17"/>
  <c r="K34" i="17" s="1"/>
  <c r="K33" i="17"/>
  <c r="I33" i="17"/>
  <c r="K32" i="17"/>
  <c r="I32" i="17"/>
  <c r="I31" i="17"/>
  <c r="K31" i="17" s="1"/>
  <c r="K30" i="17"/>
  <c r="I30" i="17"/>
  <c r="I29" i="17"/>
  <c r="D29" i="17"/>
  <c r="D46" i="17" s="1"/>
  <c r="J28" i="17"/>
  <c r="K28" i="17" s="1"/>
  <c r="I27" i="17"/>
  <c r="K27" i="17" s="1"/>
  <c r="K25" i="17"/>
  <c r="I25" i="17"/>
  <c r="I24" i="17"/>
  <c r="K24" i="17" s="1"/>
  <c r="I23" i="17"/>
  <c r="K23" i="17" s="1"/>
  <c r="I22" i="17"/>
  <c r="K22" i="17" s="1"/>
  <c r="I21" i="17"/>
  <c r="K21" i="17" s="1"/>
  <c r="I20" i="17"/>
  <c r="K20" i="17" s="1"/>
  <c r="I48" i="16"/>
  <c r="G48" i="16"/>
  <c r="K47" i="16"/>
  <c r="L47" i="16" s="1"/>
  <c r="K46" i="16"/>
  <c r="L46" i="16" s="1"/>
  <c r="K45" i="16"/>
  <c r="L45" i="16" s="1"/>
  <c r="K44" i="16"/>
  <c r="L44" i="16" s="1"/>
  <c r="K43" i="16"/>
  <c r="L43" i="16" s="1"/>
  <c r="E42" i="16"/>
  <c r="K41" i="16"/>
  <c r="L41" i="16" s="1"/>
  <c r="K40" i="16"/>
  <c r="L40" i="16" s="1"/>
  <c r="L39" i="16"/>
  <c r="K39" i="16"/>
  <c r="L38" i="16"/>
  <c r="J38" i="16"/>
  <c r="L37" i="16"/>
  <c r="J37" i="16"/>
  <c r="J36" i="16"/>
  <c r="L36" i="16" s="1"/>
  <c r="J35" i="16"/>
  <c r="L35" i="16" s="1"/>
  <c r="J34" i="16"/>
  <c r="L34" i="16" s="1"/>
  <c r="J33" i="16"/>
  <c r="L33" i="16" s="1"/>
  <c r="J32" i="16"/>
  <c r="L32" i="16" s="1"/>
  <c r="E31" i="16"/>
  <c r="K30" i="16"/>
  <c r="L30" i="16" s="1"/>
  <c r="J29" i="16"/>
  <c r="L29" i="16" s="1"/>
  <c r="J27" i="16"/>
  <c r="L27" i="16" s="1"/>
  <c r="J26" i="16"/>
  <c r="L26" i="16" s="1"/>
  <c r="J25" i="16"/>
  <c r="L25" i="16" s="1"/>
  <c r="J24" i="16"/>
  <c r="L24" i="16" s="1"/>
  <c r="J23" i="16"/>
  <c r="L23" i="16" s="1"/>
  <c r="J22" i="16"/>
  <c r="L22" i="16" s="1"/>
  <c r="J48" i="4"/>
  <c r="H48" i="4"/>
  <c r="L47" i="4"/>
  <c r="M47" i="4" s="1"/>
  <c r="L46" i="4"/>
  <c r="M46" i="4" s="1"/>
  <c r="L45" i="4"/>
  <c r="M45" i="4" s="1"/>
  <c r="L44" i="4"/>
  <c r="M44" i="4" s="1"/>
  <c r="L43" i="4"/>
  <c r="M43" i="4" s="1"/>
  <c r="F42" i="4"/>
  <c r="L41" i="4"/>
  <c r="M41" i="4" s="1"/>
  <c r="L40" i="4"/>
  <c r="M40" i="4" s="1"/>
  <c r="L39" i="4"/>
  <c r="M39" i="4" s="1"/>
  <c r="K38" i="4"/>
  <c r="M38" i="4" s="1"/>
  <c r="K37" i="4"/>
  <c r="M37" i="4" s="1"/>
  <c r="K36" i="4"/>
  <c r="M36" i="4" s="1"/>
  <c r="K35" i="4"/>
  <c r="M35" i="4" s="1"/>
  <c r="K34" i="4"/>
  <c r="M34" i="4" s="1"/>
  <c r="K33" i="4"/>
  <c r="M33" i="4" s="1"/>
  <c r="K32" i="4"/>
  <c r="M32" i="4" s="1"/>
  <c r="F31" i="4"/>
  <c r="K31" i="4" s="1"/>
  <c r="M31" i="4" s="1"/>
  <c r="L30" i="4"/>
  <c r="K28" i="4" s="1"/>
  <c r="K29" i="4"/>
  <c r="M29" i="4" s="1"/>
  <c r="K27" i="4"/>
  <c r="M27" i="4" s="1"/>
  <c r="K26" i="4"/>
  <c r="M26" i="4" s="1"/>
  <c r="K25" i="4"/>
  <c r="M25" i="4" s="1"/>
  <c r="K24" i="4"/>
  <c r="M24" i="4" s="1"/>
  <c r="K23" i="4"/>
  <c r="M23" i="4" s="1"/>
  <c r="K22" i="4"/>
  <c r="M22" i="4" s="1"/>
  <c r="E46" i="2"/>
  <c r="H36" i="2"/>
  <c r="H49" i="3"/>
  <c r="F49" i="3"/>
  <c r="J48" i="3"/>
  <c r="K48" i="3" s="1"/>
  <c r="J47" i="3"/>
  <c r="K47" i="3" s="1"/>
  <c r="J46" i="3"/>
  <c r="K46" i="3" s="1"/>
  <c r="J45" i="3"/>
  <c r="K45" i="3" s="1"/>
  <c r="J44" i="3"/>
  <c r="K44" i="3" s="1"/>
  <c r="J43" i="3"/>
  <c r="D43" i="3"/>
  <c r="J42" i="3"/>
  <c r="K42" i="3" s="1"/>
  <c r="K41" i="3"/>
  <c r="J41" i="3"/>
  <c r="J40" i="3"/>
  <c r="K40" i="3" s="1"/>
  <c r="I39" i="3"/>
  <c r="K39" i="3" s="1"/>
  <c r="I38" i="3"/>
  <c r="K38" i="3" s="1"/>
  <c r="I37" i="3"/>
  <c r="K37" i="3" s="1"/>
  <c r="K36" i="3"/>
  <c r="I36" i="3"/>
  <c r="I35" i="3"/>
  <c r="K35" i="3" s="1"/>
  <c r="I34" i="3"/>
  <c r="K34" i="3" s="1"/>
  <c r="I33" i="3"/>
  <c r="K33" i="3" s="1"/>
  <c r="D32" i="3"/>
  <c r="I32" i="3" s="1"/>
  <c r="K32" i="3" s="1"/>
  <c r="J31" i="3"/>
  <c r="K31" i="3" s="1"/>
  <c r="I30" i="3"/>
  <c r="K30" i="3" s="1"/>
  <c r="I28" i="3"/>
  <c r="K28" i="3" s="1"/>
  <c r="I27" i="3"/>
  <c r="K27" i="3" s="1"/>
  <c r="I26" i="3"/>
  <c r="K26" i="3" s="1"/>
  <c r="I25" i="3"/>
  <c r="K25" i="3" s="1"/>
  <c r="I24" i="3"/>
  <c r="K24" i="3" s="1"/>
  <c r="I23" i="3"/>
  <c r="K23" i="3" s="1"/>
  <c r="J39" i="2"/>
  <c r="J83" i="24"/>
  <c r="K83" i="24" s="1"/>
  <c r="J76" i="24"/>
  <c r="K74" i="24"/>
  <c r="J75" i="24"/>
  <c r="K75" i="24" s="1"/>
  <c r="I74" i="24"/>
  <c r="I73" i="24" s="1"/>
  <c r="J72" i="24"/>
  <c r="K72" i="24" s="1"/>
  <c r="J50" i="24"/>
  <c r="K50" i="24" s="1"/>
  <c r="J51" i="24"/>
  <c r="K51" i="24" s="1"/>
  <c r="J52" i="24"/>
  <c r="K52" i="24" s="1"/>
  <c r="J53" i="24"/>
  <c r="K53" i="24" s="1"/>
  <c r="J55" i="24"/>
  <c r="K55" i="24" s="1"/>
  <c r="J57" i="24"/>
  <c r="K57" i="24" s="1"/>
  <c r="J58" i="24"/>
  <c r="K58" i="24" s="1"/>
  <c r="J59" i="24"/>
  <c r="K59" i="24" s="1"/>
  <c r="J60" i="24"/>
  <c r="K82" i="23"/>
  <c r="J82" i="23"/>
  <c r="J71" i="23"/>
  <c r="K71" i="23" s="1"/>
  <c r="J74" i="23"/>
  <c r="K74" i="23" s="1"/>
  <c r="I73" i="23"/>
  <c r="I75" i="23" s="1"/>
  <c r="J54" i="23"/>
  <c r="K54" i="23" s="1"/>
  <c r="J56" i="23"/>
  <c r="K56" i="23" s="1"/>
  <c r="J57" i="23"/>
  <c r="K57" i="23" s="1"/>
  <c r="J58" i="23"/>
  <c r="K58" i="23" s="1"/>
  <c r="J59" i="23"/>
  <c r="K59" i="23" s="1"/>
  <c r="J49" i="23"/>
  <c r="K49" i="23" s="1"/>
  <c r="J50" i="23"/>
  <c r="K50" i="23" s="1"/>
  <c r="J51" i="23"/>
  <c r="K51" i="23" s="1"/>
  <c r="J52" i="23"/>
  <c r="K52" i="23" s="1"/>
  <c r="J82" i="22"/>
  <c r="K82" i="22" s="1"/>
  <c r="K74" i="22"/>
  <c r="I72" i="22"/>
  <c r="J74" i="22"/>
  <c r="I73" i="22"/>
  <c r="I75" i="22" s="1"/>
  <c r="J71" i="22"/>
  <c r="J75" i="22" s="1"/>
  <c r="J49" i="22"/>
  <c r="K49" i="22" s="1"/>
  <c r="J50" i="22"/>
  <c r="K50" i="22" s="1"/>
  <c r="J51" i="22"/>
  <c r="K51" i="22" s="1"/>
  <c r="J52" i="22"/>
  <c r="K52" i="22" s="1"/>
  <c r="J54" i="22"/>
  <c r="K54" i="22" s="1"/>
  <c r="J56" i="22"/>
  <c r="K56" i="22" s="1"/>
  <c r="J57" i="22"/>
  <c r="K57" i="22" s="1"/>
  <c r="J58" i="22"/>
  <c r="K58" i="22" s="1"/>
  <c r="J59" i="22"/>
  <c r="J82" i="21"/>
  <c r="K82" i="21" s="1"/>
  <c r="J71" i="21"/>
  <c r="K73" i="21"/>
  <c r="J74" i="21"/>
  <c r="K74" i="21" s="1"/>
  <c r="I73" i="21"/>
  <c r="I72" i="21" s="1"/>
  <c r="K51" i="21"/>
  <c r="J49" i="21"/>
  <c r="J50" i="21"/>
  <c r="K50" i="21" s="1"/>
  <c r="J51" i="21"/>
  <c r="J52" i="21"/>
  <c r="K52" i="21" s="1"/>
  <c r="J54" i="21"/>
  <c r="K54" i="21" s="1"/>
  <c r="J56" i="21"/>
  <c r="K56" i="21" s="1"/>
  <c r="J57" i="21"/>
  <c r="K57" i="21" s="1"/>
  <c r="J58" i="21"/>
  <c r="J59" i="21"/>
  <c r="J75" i="16"/>
  <c r="J74" i="16" s="1"/>
  <c r="K74" i="16"/>
  <c r="K76" i="16"/>
  <c r="K73" i="16"/>
  <c r="D49" i="24"/>
  <c r="J49" i="24" s="1"/>
  <c r="J71" i="20"/>
  <c r="K71" i="20" s="1"/>
  <c r="K82" i="20"/>
  <c r="J74" i="20"/>
  <c r="J75" i="20" s="1"/>
  <c r="I73" i="20"/>
  <c r="I72" i="20" s="1"/>
  <c r="J49" i="20"/>
  <c r="K49" i="20" s="1"/>
  <c r="J50" i="20"/>
  <c r="K50" i="20" s="1"/>
  <c r="J51" i="20"/>
  <c r="K51" i="20" s="1"/>
  <c r="J52" i="20"/>
  <c r="K52" i="20" s="1"/>
  <c r="J54" i="20"/>
  <c r="K54" i="20" s="1"/>
  <c r="J56" i="20"/>
  <c r="K56" i="20" s="1"/>
  <c r="J57" i="20"/>
  <c r="J58" i="20"/>
  <c r="J59" i="20"/>
  <c r="J82" i="19"/>
  <c r="K82" i="19" s="1"/>
  <c r="K74" i="19"/>
  <c r="K73" i="19"/>
  <c r="J74" i="19"/>
  <c r="I73" i="19"/>
  <c r="I75" i="19" s="1"/>
  <c r="J71" i="19"/>
  <c r="J75" i="19" s="1"/>
  <c r="J49" i="19"/>
  <c r="K49" i="19" s="1"/>
  <c r="J50" i="19"/>
  <c r="K50" i="19" s="1"/>
  <c r="J51" i="19"/>
  <c r="K51" i="19" s="1"/>
  <c r="J52" i="19"/>
  <c r="K52" i="19" s="1"/>
  <c r="J54" i="19"/>
  <c r="K54" i="19" s="1"/>
  <c r="J56" i="19"/>
  <c r="K56" i="19" s="1"/>
  <c r="J57" i="19"/>
  <c r="K57" i="19" s="1"/>
  <c r="J58" i="19"/>
  <c r="K58" i="19" s="1"/>
  <c r="J59" i="19"/>
  <c r="K59" i="19" s="1"/>
  <c r="J82" i="18"/>
  <c r="K82" i="18" s="1"/>
  <c r="I72" i="18"/>
  <c r="J74" i="18"/>
  <c r="K74" i="18" s="1"/>
  <c r="I73" i="18"/>
  <c r="K73" i="18" s="1"/>
  <c r="J71" i="18"/>
  <c r="J49" i="18"/>
  <c r="K49" i="18" s="1"/>
  <c r="J50" i="18"/>
  <c r="K50" i="18" s="1"/>
  <c r="J51" i="18"/>
  <c r="K51" i="18" s="1"/>
  <c r="J52" i="18"/>
  <c r="K52" i="18" s="1"/>
  <c r="J54" i="18"/>
  <c r="K54" i="18" s="1"/>
  <c r="J56" i="18"/>
  <c r="K56" i="18" s="1"/>
  <c r="J57" i="18"/>
  <c r="K57" i="18" s="1"/>
  <c r="J58" i="18"/>
  <c r="K58" i="18" s="1"/>
  <c r="J59" i="18"/>
  <c r="J82" i="17"/>
  <c r="K82" i="17" s="1"/>
  <c r="I75" i="17"/>
  <c r="K72" i="17"/>
  <c r="J74" i="17"/>
  <c r="K74" i="17" s="1"/>
  <c r="I73" i="17"/>
  <c r="K73" i="17" s="1"/>
  <c r="J71" i="17"/>
  <c r="J75" i="17" s="1"/>
  <c r="J49" i="17"/>
  <c r="K49" i="17" s="1"/>
  <c r="J50" i="17"/>
  <c r="K50" i="17" s="1"/>
  <c r="J51" i="17"/>
  <c r="K51" i="17" s="1"/>
  <c r="J52" i="17"/>
  <c r="K52" i="17" s="1"/>
  <c r="J54" i="17"/>
  <c r="K54" i="17" s="1"/>
  <c r="J56" i="17"/>
  <c r="K56" i="17" s="1"/>
  <c r="J57" i="17"/>
  <c r="K57" i="17" s="1"/>
  <c r="J58" i="17"/>
  <c r="K58" i="17" s="1"/>
  <c r="J59" i="17"/>
  <c r="K59" i="17" s="1"/>
  <c r="K84" i="16"/>
  <c r="L84" i="16" s="1"/>
  <c r="L61" i="16"/>
  <c r="K51" i="16"/>
  <c r="L51" i="16" s="1"/>
  <c r="K52" i="16"/>
  <c r="L52" i="16" s="1"/>
  <c r="K53" i="16"/>
  <c r="L53" i="16" s="1"/>
  <c r="K54" i="16"/>
  <c r="L54" i="16" s="1"/>
  <c r="K55" i="16"/>
  <c r="L55" i="16" s="1"/>
  <c r="K56" i="16"/>
  <c r="L56" i="16" s="1"/>
  <c r="K58" i="16"/>
  <c r="L58" i="16" s="1"/>
  <c r="K59" i="16"/>
  <c r="L59" i="16" s="1"/>
  <c r="K60" i="16"/>
  <c r="L60" i="16" s="1"/>
  <c r="K61" i="16"/>
  <c r="L76" i="16"/>
  <c r="L75" i="16"/>
  <c r="K74" i="4"/>
  <c r="H33" i="2"/>
  <c r="K75" i="4"/>
  <c r="L84" i="4"/>
  <c r="M84" i="4" s="1"/>
  <c r="L73" i="4"/>
  <c r="M73" i="4" s="1"/>
  <c r="M74" i="4"/>
  <c r="L76" i="4"/>
  <c r="M76" i="4" s="1"/>
  <c r="M75" i="4"/>
  <c r="L51" i="4"/>
  <c r="M51" i="4" s="1"/>
  <c r="L52" i="4"/>
  <c r="M52" i="4" s="1"/>
  <c r="L53" i="4"/>
  <c r="M53" i="4" s="1"/>
  <c r="L54" i="4"/>
  <c r="M54" i="4" s="1"/>
  <c r="L56" i="4"/>
  <c r="M56" i="4" s="1"/>
  <c r="L58" i="4"/>
  <c r="M58" i="4" s="1"/>
  <c r="L59" i="4"/>
  <c r="M59" i="4" s="1"/>
  <c r="L60" i="4"/>
  <c r="M60" i="4" s="1"/>
  <c r="L61" i="4"/>
  <c r="J78" i="3"/>
  <c r="I71" i="2"/>
  <c r="J71" i="2" s="1"/>
  <c r="K77" i="3"/>
  <c r="J77" i="3"/>
  <c r="I76" i="3"/>
  <c r="K76" i="3" s="1"/>
  <c r="K60" i="3"/>
  <c r="K61" i="3"/>
  <c r="J52" i="3"/>
  <c r="K52" i="3" s="1"/>
  <c r="J53" i="3"/>
  <c r="K53" i="3" s="1"/>
  <c r="J54" i="3"/>
  <c r="K54" i="3" s="1"/>
  <c r="J55" i="3"/>
  <c r="K55" i="3" s="1"/>
  <c r="J56" i="3"/>
  <c r="K56" i="3" s="1"/>
  <c r="J57" i="3"/>
  <c r="K57" i="3" s="1"/>
  <c r="J59" i="3"/>
  <c r="K59" i="3" s="1"/>
  <c r="J60" i="3"/>
  <c r="J61" i="3"/>
  <c r="J62" i="3"/>
  <c r="K62" i="3" s="1"/>
  <c r="I49" i="2"/>
  <c r="J49" i="2" s="1"/>
  <c r="I50" i="2"/>
  <c r="J50" i="2" s="1"/>
  <c r="I51" i="2"/>
  <c r="I52" i="2"/>
  <c r="I53" i="2"/>
  <c r="I54" i="2"/>
  <c r="I56" i="2"/>
  <c r="I57" i="2"/>
  <c r="I58" i="2"/>
  <c r="J56" i="25" s="1"/>
  <c r="I59" i="2"/>
  <c r="J85" i="3"/>
  <c r="K85" i="3" s="1"/>
  <c r="K74" i="3"/>
  <c r="J74" i="3"/>
  <c r="I41" i="2"/>
  <c r="I42" i="2"/>
  <c r="J40" i="25" s="1"/>
  <c r="I43" i="2"/>
  <c r="I44" i="2"/>
  <c r="I45" i="2"/>
  <c r="J45" i="2" s="1"/>
  <c r="I39" i="2"/>
  <c r="J37" i="25" s="1"/>
  <c r="I38" i="2"/>
  <c r="J38" i="2" s="1"/>
  <c r="I37" i="2"/>
  <c r="I82" i="2"/>
  <c r="J74" i="2"/>
  <c r="I74" i="2"/>
  <c r="H73" i="2"/>
  <c r="I28" i="2"/>
  <c r="J28" i="2" s="1"/>
  <c r="H27" i="2"/>
  <c r="J27" i="2" s="1"/>
  <c r="I76" i="24" l="1"/>
  <c r="I47" i="24"/>
  <c r="K37" i="24"/>
  <c r="I72" i="23"/>
  <c r="K73" i="23"/>
  <c r="D46" i="23"/>
  <c r="I46" i="23"/>
  <c r="J40" i="23"/>
  <c r="J46" i="23" s="1"/>
  <c r="D46" i="22"/>
  <c r="K73" i="22"/>
  <c r="K71" i="22"/>
  <c r="I71" i="25"/>
  <c r="I73" i="25" s="1"/>
  <c r="J42" i="25"/>
  <c r="J75" i="21"/>
  <c r="J40" i="21"/>
  <c r="K40" i="21" s="1"/>
  <c r="I46" i="21"/>
  <c r="K29" i="21"/>
  <c r="J72" i="25"/>
  <c r="K72" i="25" s="1"/>
  <c r="K74" i="20"/>
  <c r="K73" i="20"/>
  <c r="D46" i="20"/>
  <c r="K40" i="20"/>
  <c r="J40" i="20"/>
  <c r="I26" i="20"/>
  <c r="I72" i="19"/>
  <c r="K26" i="19"/>
  <c r="D46" i="19"/>
  <c r="K40" i="19"/>
  <c r="J75" i="18"/>
  <c r="K24" i="25"/>
  <c r="I75" i="18"/>
  <c r="K71" i="18"/>
  <c r="I72" i="17"/>
  <c r="K29" i="17"/>
  <c r="J35" i="25"/>
  <c r="J40" i="17"/>
  <c r="K40" i="17" s="1"/>
  <c r="I46" i="17"/>
  <c r="K46" i="17" s="1"/>
  <c r="J57" i="25"/>
  <c r="K36" i="17"/>
  <c r="M30" i="4"/>
  <c r="F48" i="4"/>
  <c r="J28" i="16"/>
  <c r="J41" i="25"/>
  <c r="J55" i="25"/>
  <c r="J31" i="16"/>
  <c r="L31" i="16" s="1"/>
  <c r="E48" i="16"/>
  <c r="J39" i="25"/>
  <c r="J77" i="16"/>
  <c r="L42" i="16"/>
  <c r="K42" i="16"/>
  <c r="K43" i="3"/>
  <c r="J49" i="3"/>
  <c r="J80" i="25"/>
  <c r="I75" i="3"/>
  <c r="I34" i="25"/>
  <c r="D49" i="3"/>
  <c r="F44" i="25"/>
  <c r="F82" i="25" s="1"/>
  <c r="K37" i="25"/>
  <c r="J50" i="25"/>
  <c r="K50" i="25" s="1"/>
  <c r="J43" i="2"/>
  <c r="K41" i="25" s="1"/>
  <c r="J42" i="2"/>
  <c r="K40" i="25" s="1"/>
  <c r="J26" i="2"/>
  <c r="J41" i="2"/>
  <c r="K39" i="25" s="1"/>
  <c r="J82" i="2"/>
  <c r="K80" i="25" s="1"/>
  <c r="J37" i="2"/>
  <c r="H72" i="2"/>
  <c r="J57" i="2"/>
  <c r="J44" i="2"/>
  <c r="K42" i="25" s="1"/>
  <c r="J73" i="2"/>
  <c r="K71" i="25" s="1"/>
  <c r="J52" i="2"/>
  <c r="I75" i="2"/>
  <c r="I27" i="24"/>
  <c r="J47" i="24"/>
  <c r="I26" i="23"/>
  <c r="J46" i="21"/>
  <c r="K46" i="21" s="1"/>
  <c r="K26" i="21"/>
  <c r="I26" i="21"/>
  <c r="J46" i="20"/>
  <c r="J46" i="19"/>
  <c r="K26" i="18"/>
  <c r="J52" i="25"/>
  <c r="K52" i="25" s="1"/>
  <c r="J46" i="17"/>
  <c r="I26" i="17"/>
  <c r="L28" i="16"/>
  <c r="K48" i="16"/>
  <c r="M28" i="4"/>
  <c r="J54" i="25"/>
  <c r="K54" i="25" s="1"/>
  <c r="J49" i="25"/>
  <c r="K49" i="25" s="1"/>
  <c r="J48" i="25"/>
  <c r="K48" i="25" s="1"/>
  <c r="K29" i="3"/>
  <c r="J56" i="2"/>
  <c r="J53" i="2"/>
  <c r="J54" i="2"/>
  <c r="J51" i="2"/>
  <c r="H26" i="2"/>
  <c r="J75" i="23"/>
  <c r="L77" i="4"/>
  <c r="J69" i="25"/>
  <c r="K69" i="25" s="1"/>
  <c r="K49" i="21"/>
  <c r="J47" i="25"/>
  <c r="K47" i="25" s="1"/>
  <c r="K77" i="16"/>
  <c r="K47" i="24"/>
  <c r="K26" i="23"/>
  <c r="K46" i="23"/>
  <c r="K40" i="22"/>
  <c r="J46" i="22"/>
  <c r="I46" i="22"/>
  <c r="K37" i="21"/>
  <c r="I46" i="20"/>
  <c r="I46" i="19"/>
  <c r="K46" i="19" s="1"/>
  <c r="I26" i="19"/>
  <c r="D46" i="18"/>
  <c r="I46" i="18"/>
  <c r="J40" i="18"/>
  <c r="J46" i="18" s="1"/>
  <c r="K26" i="17"/>
  <c r="J48" i="16"/>
  <c r="L48" i="16" s="1"/>
  <c r="K48" i="4"/>
  <c r="L42" i="4"/>
  <c r="L48" i="4" s="1"/>
  <c r="I49" i="3"/>
  <c r="K49" i="3" s="1"/>
  <c r="I29" i="3"/>
  <c r="K49" i="24"/>
  <c r="C40" i="2"/>
  <c r="K40" i="23" l="1"/>
  <c r="K35" i="25"/>
  <c r="D38" i="25"/>
  <c r="I40" i="2"/>
  <c r="J40" i="2" s="1"/>
  <c r="K46" i="22"/>
  <c r="K46" i="20"/>
  <c r="M48" i="4"/>
  <c r="J73" i="25"/>
  <c r="K46" i="18"/>
  <c r="K40" i="18"/>
  <c r="M42" i="4"/>
  <c r="C29" i="2"/>
  <c r="J53" i="23"/>
  <c r="K53" i="23" s="1"/>
  <c r="G85" i="2"/>
  <c r="F85" i="2"/>
  <c r="E85" i="2"/>
  <c r="D85" i="2"/>
  <c r="D84" i="2"/>
  <c r="G83" i="2"/>
  <c r="F83" i="2"/>
  <c r="F84" i="2" s="1"/>
  <c r="E83" i="2"/>
  <c r="I83" i="2" s="1"/>
  <c r="C83" i="2"/>
  <c r="H81" i="2"/>
  <c r="J81" i="2" s="1"/>
  <c r="G75" i="2"/>
  <c r="J72" i="2"/>
  <c r="H70" i="2"/>
  <c r="H66" i="2"/>
  <c r="H64" i="2"/>
  <c r="H63" i="2"/>
  <c r="H62" i="2"/>
  <c r="G60" i="2"/>
  <c r="H59" i="2"/>
  <c r="H58" i="2"/>
  <c r="G46" i="2"/>
  <c r="H44" i="25" s="1"/>
  <c r="J36" i="2"/>
  <c r="K34" i="25" s="1"/>
  <c r="H35" i="2"/>
  <c r="J35" i="2" s="1"/>
  <c r="H34" i="2"/>
  <c r="J34" i="2" s="1"/>
  <c r="J33" i="2"/>
  <c r="H32" i="2"/>
  <c r="J32" i="2" s="1"/>
  <c r="H31" i="2"/>
  <c r="J31" i="2" s="1"/>
  <c r="H30" i="2"/>
  <c r="J30" i="2" s="1"/>
  <c r="H25" i="2"/>
  <c r="J25" i="2" s="1"/>
  <c r="H24" i="2"/>
  <c r="J24" i="2" s="1"/>
  <c r="H23" i="2"/>
  <c r="J23" i="2" s="1"/>
  <c r="H22" i="2"/>
  <c r="J22" i="2" s="1"/>
  <c r="H21" i="2"/>
  <c r="J21" i="2" s="1"/>
  <c r="H20" i="2"/>
  <c r="J20" i="2" s="1"/>
  <c r="H86" i="24"/>
  <c r="G86" i="24"/>
  <c r="F86" i="24"/>
  <c r="E86" i="24"/>
  <c r="E85" i="24"/>
  <c r="H84" i="24"/>
  <c r="G84" i="24"/>
  <c r="G85" i="24" s="1"/>
  <c r="F84" i="24"/>
  <c r="J84" i="24" s="1"/>
  <c r="K84" i="24" s="1"/>
  <c r="D84" i="24"/>
  <c r="H76" i="24"/>
  <c r="K73" i="24"/>
  <c r="I71" i="24"/>
  <c r="I67" i="24"/>
  <c r="K67" i="24" s="1"/>
  <c r="I65" i="24"/>
  <c r="K65" i="24" s="1"/>
  <c r="I64" i="24"/>
  <c r="K64" i="24" s="1"/>
  <c r="I63" i="24"/>
  <c r="H61" i="24"/>
  <c r="I60" i="24"/>
  <c r="K60" i="24" s="1"/>
  <c r="D56" i="24"/>
  <c r="H85" i="23"/>
  <c r="G85" i="23"/>
  <c r="F85" i="23"/>
  <c r="E85" i="23"/>
  <c r="E84" i="23"/>
  <c r="H83" i="23"/>
  <c r="G83" i="23"/>
  <c r="G84" i="23" s="1"/>
  <c r="F83" i="23"/>
  <c r="D83" i="23"/>
  <c r="K81" i="23"/>
  <c r="H75" i="23"/>
  <c r="K72" i="23"/>
  <c r="I70" i="23"/>
  <c r="K70" i="23" s="1"/>
  <c r="I66" i="23"/>
  <c r="I64" i="23"/>
  <c r="K64" i="23" s="1"/>
  <c r="I63" i="23"/>
  <c r="K63" i="23" s="1"/>
  <c r="I62" i="23"/>
  <c r="H60" i="23"/>
  <c r="D55" i="23"/>
  <c r="D48" i="23"/>
  <c r="H85" i="22"/>
  <c r="G85" i="22"/>
  <c r="F85" i="22"/>
  <c r="E85" i="22"/>
  <c r="E84" i="22"/>
  <c r="H83" i="22"/>
  <c r="G83" i="22"/>
  <c r="G84" i="22" s="1"/>
  <c r="F83" i="22"/>
  <c r="J83" i="22" s="1"/>
  <c r="D83" i="22"/>
  <c r="K81" i="22"/>
  <c r="H75" i="22"/>
  <c r="K72" i="22"/>
  <c r="I70" i="22"/>
  <c r="K70" i="22" s="1"/>
  <c r="I66" i="22"/>
  <c r="I64" i="22"/>
  <c r="K64" i="22" s="1"/>
  <c r="I63" i="22"/>
  <c r="K63" i="22" s="1"/>
  <c r="I62" i="22"/>
  <c r="H60" i="22"/>
  <c r="I59" i="22"/>
  <c r="K59" i="22" s="1"/>
  <c r="D55" i="22"/>
  <c r="D48" i="22"/>
  <c r="H85" i="21"/>
  <c r="G85" i="21"/>
  <c r="F85" i="21"/>
  <c r="E85" i="21"/>
  <c r="E84" i="21"/>
  <c r="H83" i="21"/>
  <c r="G83" i="21"/>
  <c r="G84" i="21" s="1"/>
  <c r="F83" i="21"/>
  <c r="D83" i="21"/>
  <c r="I81" i="21"/>
  <c r="K81" i="21" s="1"/>
  <c r="H75" i="21"/>
  <c r="K72" i="21"/>
  <c r="K71" i="21"/>
  <c r="I70" i="21"/>
  <c r="K70" i="21" s="1"/>
  <c r="I66" i="21"/>
  <c r="I64" i="21"/>
  <c r="K64" i="21" s="1"/>
  <c r="I63" i="21"/>
  <c r="K63" i="21" s="1"/>
  <c r="I62" i="21"/>
  <c r="H60" i="21"/>
  <c r="I59" i="21"/>
  <c r="K59" i="21" s="1"/>
  <c r="I58" i="21"/>
  <c r="K58" i="21" s="1"/>
  <c r="D55" i="21"/>
  <c r="H85" i="20"/>
  <c r="G85" i="20"/>
  <c r="F85" i="20"/>
  <c r="E85" i="20"/>
  <c r="E84" i="20"/>
  <c r="H83" i="20"/>
  <c r="G83" i="20"/>
  <c r="G84" i="20" s="1"/>
  <c r="F83" i="20"/>
  <c r="J83" i="20" s="1"/>
  <c r="D83" i="20"/>
  <c r="I81" i="20"/>
  <c r="K81" i="20" s="1"/>
  <c r="H75" i="20"/>
  <c r="K72" i="20"/>
  <c r="I70" i="20"/>
  <c r="K70" i="20" s="1"/>
  <c r="I66" i="20"/>
  <c r="K66" i="20" s="1"/>
  <c r="I64" i="20"/>
  <c r="K64" i="20" s="1"/>
  <c r="I63" i="20"/>
  <c r="K63" i="20" s="1"/>
  <c r="I62" i="20"/>
  <c r="H60" i="20"/>
  <c r="H84" i="20" s="1"/>
  <c r="I59" i="20"/>
  <c r="K59" i="20" s="1"/>
  <c r="I58" i="20"/>
  <c r="K58" i="20" s="1"/>
  <c r="I57" i="20"/>
  <c r="D55" i="20"/>
  <c r="H85" i="19"/>
  <c r="G85" i="19"/>
  <c r="F85" i="19"/>
  <c r="E85" i="19"/>
  <c r="E84" i="19"/>
  <c r="H83" i="19"/>
  <c r="G83" i="19"/>
  <c r="G84" i="19" s="1"/>
  <c r="F83" i="19"/>
  <c r="D83" i="19"/>
  <c r="I81" i="19"/>
  <c r="K81" i="19" s="1"/>
  <c r="H75" i="19"/>
  <c r="K72" i="19"/>
  <c r="K71" i="19"/>
  <c r="I70" i="19"/>
  <c r="K70" i="19" s="1"/>
  <c r="I66" i="19"/>
  <c r="I64" i="19"/>
  <c r="K64" i="19" s="1"/>
  <c r="I63" i="19"/>
  <c r="K63" i="19" s="1"/>
  <c r="I62" i="19"/>
  <c r="H60" i="19"/>
  <c r="D55" i="19"/>
  <c r="D48" i="19"/>
  <c r="H85" i="18"/>
  <c r="G85" i="18"/>
  <c r="F85" i="18"/>
  <c r="E85" i="18"/>
  <c r="E84" i="18"/>
  <c r="H83" i="18"/>
  <c r="G83" i="18"/>
  <c r="G84" i="18" s="1"/>
  <c r="F83" i="18"/>
  <c r="J83" i="18" s="1"/>
  <c r="D83" i="18"/>
  <c r="K81" i="18"/>
  <c r="H75" i="18"/>
  <c r="K72" i="18"/>
  <c r="I70" i="18"/>
  <c r="K70" i="18" s="1"/>
  <c r="I66" i="18"/>
  <c r="I64" i="18"/>
  <c r="K64" i="18" s="1"/>
  <c r="I63" i="18"/>
  <c r="K63" i="18" s="1"/>
  <c r="I62" i="18"/>
  <c r="H60" i="18"/>
  <c r="I59" i="18"/>
  <c r="K59" i="18" s="1"/>
  <c r="D55" i="18"/>
  <c r="H85" i="17"/>
  <c r="G85" i="17"/>
  <c r="F85" i="17"/>
  <c r="E85" i="17"/>
  <c r="E84" i="17"/>
  <c r="H83" i="17"/>
  <c r="G83" i="17"/>
  <c r="G84" i="17" s="1"/>
  <c r="F83" i="17"/>
  <c r="J83" i="17" s="1"/>
  <c r="D83" i="17"/>
  <c r="I81" i="17"/>
  <c r="H75" i="17"/>
  <c r="K71" i="17"/>
  <c r="I70" i="17"/>
  <c r="K70" i="17" s="1"/>
  <c r="I66" i="17"/>
  <c r="I64" i="17"/>
  <c r="K64" i="17" s="1"/>
  <c r="I63" i="17"/>
  <c r="K63" i="17" s="1"/>
  <c r="I62" i="17"/>
  <c r="H60" i="17"/>
  <c r="D55" i="17"/>
  <c r="I87" i="16"/>
  <c r="H87" i="16"/>
  <c r="G87" i="16"/>
  <c r="F87" i="16"/>
  <c r="F86" i="16"/>
  <c r="I85" i="16"/>
  <c r="H85" i="16"/>
  <c r="H86" i="16" s="1"/>
  <c r="G85" i="16"/>
  <c r="K85" i="16" s="1"/>
  <c r="E85" i="16"/>
  <c r="J83" i="16"/>
  <c r="L83" i="16" s="1"/>
  <c r="I77" i="16"/>
  <c r="L74" i="16"/>
  <c r="J72" i="16"/>
  <c r="L72" i="16" s="1"/>
  <c r="J68" i="16"/>
  <c r="J67" i="16" s="1"/>
  <c r="J66" i="16"/>
  <c r="L66" i="16" s="1"/>
  <c r="J65" i="16"/>
  <c r="L65" i="16" s="1"/>
  <c r="J64" i="16"/>
  <c r="I62" i="16"/>
  <c r="E50" i="16"/>
  <c r="J87" i="4"/>
  <c r="I87" i="4"/>
  <c r="H87" i="4"/>
  <c r="G87" i="4"/>
  <c r="G86" i="4"/>
  <c r="J85" i="4"/>
  <c r="I85" i="4"/>
  <c r="I86" i="4" s="1"/>
  <c r="H85" i="4"/>
  <c r="L85" i="4" s="1"/>
  <c r="F85" i="4"/>
  <c r="K83" i="4"/>
  <c r="J77" i="4"/>
  <c r="K72" i="4"/>
  <c r="M72" i="4" s="1"/>
  <c r="K68" i="4"/>
  <c r="K66" i="4"/>
  <c r="M66" i="4" s="1"/>
  <c r="K65" i="4"/>
  <c r="M65" i="4" s="1"/>
  <c r="K64" i="4"/>
  <c r="J62" i="4"/>
  <c r="K61" i="4"/>
  <c r="M61" i="4" s="1"/>
  <c r="F57" i="4"/>
  <c r="H88" i="3"/>
  <c r="G88" i="3"/>
  <c r="F88" i="3"/>
  <c r="E88" i="3"/>
  <c r="E87" i="3"/>
  <c r="H86" i="3"/>
  <c r="G86" i="3"/>
  <c r="G87" i="3" s="1"/>
  <c r="F86" i="3"/>
  <c r="J86" i="3" s="1"/>
  <c r="J87" i="3" s="1"/>
  <c r="D86" i="3"/>
  <c r="K84" i="3"/>
  <c r="H78" i="3"/>
  <c r="K75" i="3"/>
  <c r="I73" i="3"/>
  <c r="K73" i="3" s="1"/>
  <c r="I69" i="3"/>
  <c r="I67" i="3"/>
  <c r="K67" i="3" s="1"/>
  <c r="I66" i="3"/>
  <c r="K66" i="3" s="1"/>
  <c r="I65" i="3"/>
  <c r="H63" i="3"/>
  <c r="D58" i="3"/>
  <c r="D63" i="3"/>
  <c r="F84" i="23" l="1"/>
  <c r="J83" i="23"/>
  <c r="J84" i="23" s="1"/>
  <c r="F84" i="21"/>
  <c r="J83" i="21"/>
  <c r="K57" i="20"/>
  <c r="I55" i="25"/>
  <c r="K55" i="25" s="1"/>
  <c r="K62" i="20"/>
  <c r="J83" i="19"/>
  <c r="K83" i="19" s="1"/>
  <c r="H73" i="25"/>
  <c r="K38" i="25"/>
  <c r="F62" i="4"/>
  <c r="H58" i="25"/>
  <c r="I64" i="25"/>
  <c r="K70" i="25"/>
  <c r="J63" i="2"/>
  <c r="K61" i="25" s="1"/>
  <c r="I61" i="25"/>
  <c r="J70" i="2"/>
  <c r="I68" i="25"/>
  <c r="I60" i="25"/>
  <c r="J64" i="2"/>
  <c r="K62" i="25" s="1"/>
  <c r="I62" i="25"/>
  <c r="D27" i="25"/>
  <c r="C46" i="2"/>
  <c r="I56" i="25"/>
  <c r="K56" i="25" s="1"/>
  <c r="J58" i="2"/>
  <c r="I57" i="25"/>
  <c r="K57" i="25" s="1"/>
  <c r="J59" i="2"/>
  <c r="J38" i="25"/>
  <c r="I46" i="2"/>
  <c r="J44" i="25" s="1"/>
  <c r="D51" i="25"/>
  <c r="K57" i="16"/>
  <c r="L57" i="16" s="1"/>
  <c r="K50" i="16"/>
  <c r="L50" i="16"/>
  <c r="D46" i="25"/>
  <c r="J58" i="3"/>
  <c r="K58" i="3" s="1"/>
  <c r="J51" i="3"/>
  <c r="D53" i="25"/>
  <c r="I55" i="2"/>
  <c r="J55" i="2" s="1"/>
  <c r="I48" i="2"/>
  <c r="J48" i="2" s="1"/>
  <c r="F84" i="20"/>
  <c r="I66" i="24"/>
  <c r="J56" i="24"/>
  <c r="K56" i="24" s="1"/>
  <c r="J54" i="24"/>
  <c r="K54" i="24" s="1"/>
  <c r="J48" i="23"/>
  <c r="K48" i="23" s="1"/>
  <c r="J55" i="23"/>
  <c r="K55" i="23" s="1"/>
  <c r="I65" i="22"/>
  <c r="J48" i="22"/>
  <c r="K48" i="22"/>
  <c r="J55" i="22"/>
  <c r="K55" i="22" s="1"/>
  <c r="J53" i="22"/>
  <c r="K53" i="22" s="1"/>
  <c r="D60" i="21"/>
  <c r="J48" i="21"/>
  <c r="J53" i="21"/>
  <c r="K53" i="21" s="1"/>
  <c r="J55" i="21"/>
  <c r="K55" i="21" s="1"/>
  <c r="D60" i="23"/>
  <c r="I65" i="23"/>
  <c r="F84" i="22"/>
  <c r="H84" i="21"/>
  <c r="I65" i="21"/>
  <c r="I75" i="21" s="1"/>
  <c r="L73" i="16"/>
  <c r="J55" i="20"/>
  <c r="K55" i="20" s="1"/>
  <c r="J53" i="20"/>
  <c r="K53" i="20" s="1"/>
  <c r="J48" i="20"/>
  <c r="K48" i="20" s="1"/>
  <c r="J53" i="19"/>
  <c r="K53" i="19" s="1"/>
  <c r="J48" i="19"/>
  <c r="K48" i="19"/>
  <c r="J55" i="19"/>
  <c r="K55" i="19" s="1"/>
  <c r="H84" i="19"/>
  <c r="F84" i="19"/>
  <c r="J53" i="18"/>
  <c r="K53" i="18" s="1"/>
  <c r="I65" i="18"/>
  <c r="D60" i="18"/>
  <c r="J48" i="18"/>
  <c r="K48" i="18" s="1"/>
  <c r="J55" i="18"/>
  <c r="K55" i="18" s="1"/>
  <c r="F84" i="18"/>
  <c r="H84" i="18"/>
  <c r="D85" i="18"/>
  <c r="F84" i="17"/>
  <c r="I65" i="17"/>
  <c r="J53" i="17"/>
  <c r="K53" i="17" s="1"/>
  <c r="J55" i="17"/>
  <c r="K55" i="17" s="1"/>
  <c r="J48" i="17"/>
  <c r="K48" i="17" s="1"/>
  <c r="E62" i="16"/>
  <c r="G86" i="16"/>
  <c r="I86" i="16"/>
  <c r="L57" i="4"/>
  <c r="M57" i="4" s="1"/>
  <c r="L50" i="4"/>
  <c r="M50" i="4"/>
  <c r="L55" i="4"/>
  <c r="H86" i="4"/>
  <c r="K67" i="4"/>
  <c r="K77" i="4" s="1"/>
  <c r="K85" i="4"/>
  <c r="M85" i="4" s="1"/>
  <c r="F87" i="3"/>
  <c r="F85" i="24"/>
  <c r="H85" i="24"/>
  <c r="K71" i="24"/>
  <c r="D61" i="24"/>
  <c r="I84" i="24"/>
  <c r="I83" i="23"/>
  <c r="K83" i="23" s="1"/>
  <c r="H84" i="23"/>
  <c r="H84" i="22"/>
  <c r="I83" i="22"/>
  <c r="K83" i="22" s="1"/>
  <c r="D85" i="21"/>
  <c r="I65" i="20"/>
  <c r="I75" i="20" s="1"/>
  <c r="I65" i="19"/>
  <c r="I83" i="17"/>
  <c r="K83" i="17" s="1"/>
  <c r="H84" i="17"/>
  <c r="J85" i="16"/>
  <c r="L85" i="16" s="1"/>
  <c r="J86" i="4"/>
  <c r="I68" i="3"/>
  <c r="I78" i="3" s="1"/>
  <c r="H87" i="3"/>
  <c r="G84" i="2"/>
  <c r="H65" i="2"/>
  <c r="H83" i="2"/>
  <c r="J83" i="2" s="1"/>
  <c r="H29" i="2"/>
  <c r="H46" i="2" s="1"/>
  <c r="I44" i="25" s="1"/>
  <c r="D86" i="24"/>
  <c r="D85" i="23"/>
  <c r="D85" i="22"/>
  <c r="D60" i="22"/>
  <c r="D60" i="20"/>
  <c r="D85" i="19"/>
  <c r="J85" i="19" s="1"/>
  <c r="D60" i="19"/>
  <c r="D60" i="17"/>
  <c r="J60" i="17" s="1"/>
  <c r="J84" i="17" s="1"/>
  <c r="E87" i="16"/>
  <c r="D88" i="3"/>
  <c r="J62" i="2"/>
  <c r="J66" i="2"/>
  <c r="K82" i="24"/>
  <c r="K63" i="24"/>
  <c r="K62" i="23"/>
  <c r="K66" i="23"/>
  <c r="K62" i="22"/>
  <c r="K66" i="22"/>
  <c r="I83" i="21"/>
  <c r="K83" i="21" s="1"/>
  <c r="K62" i="21"/>
  <c r="K66" i="21"/>
  <c r="I83" i="20"/>
  <c r="D85" i="20"/>
  <c r="J85" i="20" s="1"/>
  <c r="K62" i="19"/>
  <c r="K66" i="19"/>
  <c r="I83" i="19"/>
  <c r="I83" i="18"/>
  <c r="K83" i="18" s="1"/>
  <c r="K62" i="18"/>
  <c r="K66" i="18"/>
  <c r="K81" i="17"/>
  <c r="K62" i="17"/>
  <c r="K66" i="17"/>
  <c r="L64" i="16"/>
  <c r="L68" i="16"/>
  <c r="M83" i="4"/>
  <c r="F87" i="4"/>
  <c r="M64" i="4"/>
  <c r="M68" i="4"/>
  <c r="K65" i="3"/>
  <c r="K69" i="3"/>
  <c r="I86" i="3"/>
  <c r="K86" i="3" s="1"/>
  <c r="K68" i="25" l="1"/>
  <c r="H82" i="25"/>
  <c r="K64" i="25"/>
  <c r="I63" i="25"/>
  <c r="K60" i="25"/>
  <c r="K51" i="3"/>
  <c r="K63" i="3" s="1"/>
  <c r="J63" i="3"/>
  <c r="H75" i="2"/>
  <c r="J29" i="2"/>
  <c r="I27" i="25"/>
  <c r="K27" i="25" s="1"/>
  <c r="J86" i="24"/>
  <c r="K86" i="24" s="1"/>
  <c r="J85" i="23"/>
  <c r="K85" i="23" s="1"/>
  <c r="J85" i="22"/>
  <c r="K85" i="22" s="1"/>
  <c r="D83" i="25"/>
  <c r="J83" i="25" s="1"/>
  <c r="K83" i="25" s="1"/>
  <c r="K85" i="18"/>
  <c r="J85" i="18"/>
  <c r="J85" i="17"/>
  <c r="K85" i="17" s="1"/>
  <c r="K87" i="16"/>
  <c r="L87" i="16" s="1"/>
  <c r="K62" i="16"/>
  <c r="K86" i="16" s="1"/>
  <c r="M55" i="4"/>
  <c r="J51" i="25"/>
  <c r="K51" i="25" s="1"/>
  <c r="L87" i="4"/>
  <c r="M87" i="4" s="1"/>
  <c r="J53" i="25"/>
  <c r="K53" i="25" s="1"/>
  <c r="J88" i="3"/>
  <c r="K88" i="3" s="1"/>
  <c r="D58" i="25"/>
  <c r="J46" i="25"/>
  <c r="K46" i="25" s="1"/>
  <c r="I85" i="2"/>
  <c r="J85" i="2" s="1"/>
  <c r="I60" i="2"/>
  <c r="D42" i="25"/>
  <c r="D44" i="25"/>
  <c r="J46" i="2"/>
  <c r="K44" i="25" s="1"/>
  <c r="K85" i="21"/>
  <c r="J85" i="21"/>
  <c r="K48" i="21"/>
  <c r="K83" i="20"/>
  <c r="J61" i="24"/>
  <c r="J60" i="23"/>
  <c r="K60" i="23" s="1"/>
  <c r="J60" i="22"/>
  <c r="J84" i="22" s="1"/>
  <c r="J60" i="21"/>
  <c r="I84" i="23"/>
  <c r="J60" i="20"/>
  <c r="J84" i="20" s="1"/>
  <c r="J60" i="19"/>
  <c r="J84" i="19" s="1"/>
  <c r="J60" i="18"/>
  <c r="J84" i="18" s="1"/>
  <c r="D67" i="18"/>
  <c r="K67" i="18" s="1"/>
  <c r="D68" i="18"/>
  <c r="K68" i="18" s="1"/>
  <c r="D69" i="18"/>
  <c r="K69" i="18" s="1"/>
  <c r="D67" i="17"/>
  <c r="K60" i="17"/>
  <c r="J86" i="16"/>
  <c r="L62" i="4"/>
  <c r="K86" i="4"/>
  <c r="D70" i="24"/>
  <c r="K70" i="24" s="1"/>
  <c r="D69" i="24"/>
  <c r="D68" i="24"/>
  <c r="K68" i="24" s="1"/>
  <c r="D69" i="23"/>
  <c r="K69" i="23" s="1"/>
  <c r="D68" i="23"/>
  <c r="K68" i="23" s="1"/>
  <c r="D67" i="23"/>
  <c r="D69" i="22"/>
  <c r="K69" i="22" s="1"/>
  <c r="D68" i="22"/>
  <c r="K68" i="22" s="1"/>
  <c r="D67" i="22"/>
  <c r="D69" i="21"/>
  <c r="D68" i="21"/>
  <c r="D67" i="21"/>
  <c r="D69" i="20"/>
  <c r="K69" i="20" s="1"/>
  <c r="D68" i="20"/>
  <c r="K68" i="20" s="1"/>
  <c r="D67" i="20"/>
  <c r="D67" i="19"/>
  <c r="D68" i="19"/>
  <c r="K68" i="19" s="1"/>
  <c r="D69" i="19"/>
  <c r="K69" i="19" s="1"/>
  <c r="K85" i="19"/>
  <c r="D69" i="17"/>
  <c r="K69" i="17" s="1"/>
  <c r="D68" i="17"/>
  <c r="K68" i="17" s="1"/>
  <c r="E71" i="16"/>
  <c r="L71" i="16" s="1"/>
  <c r="E70" i="16"/>
  <c r="L70" i="16" s="1"/>
  <c r="E69" i="16"/>
  <c r="I87" i="3"/>
  <c r="D72" i="3"/>
  <c r="K72" i="3" s="1"/>
  <c r="D71" i="3"/>
  <c r="K71" i="3" s="1"/>
  <c r="C69" i="2"/>
  <c r="C68" i="2"/>
  <c r="C67" i="2"/>
  <c r="I84" i="17"/>
  <c r="I85" i="24"/>
  <c r="D70" i="3"/>
  <c r="I84" i="22"/>
  <c r="I84" i="19"/>
  <c r="F71" i="4"/>
  <c r="M71" i="4" s="1"/>
  <c r="F69" i="4"/>
  <c r="F70" i="4"/>
  <c r="M70" i="4" s="1"/>
  <c r="I84" i="21"/>
  <c r="K85" i="20"/>
  <c r="K60" i="19" l="1"/>
  <c r="K61" i="24"/>
  <c r="J85" i="24"/>
  <c r="K60" i="22"/>
  <c r="K60" i="20"/>
  <c r="L62" i="16"/>
  <c r="M62" i="4"/>
  <c r="L86" i="4"/>
  <c r="J60" i="2"/>
  <c r="D65" i="25"/>
  <c r="K68" i="21"/>
  <c r="D66" i="25"/>
  <c r="K69" i="21"/>
  <c r="D67" i="25"/>
  <c r="K60" i="21"/>
  <c r="J58" i="25"/>
  <c r="J84" i="21"/>
  <c r="I84" i="20"/>
  <c r="K60" i="18"/>
  <c r="D65" i="18"/>
  <c r="D75" i="18" s="1"/>
  <c r="K75" i="18" s="1"/>
  <c r="K69" i="24"/>
  <c r="D66" i="24"/>
  <c r="D76" i="24" s="1"/>
  <c r="K67" i="23"/>
  <c r="D65" i="23"/>
  <c r="K67" i="22"/>
  <c r="D65" i="22"/>
  <c r="D65" i="21"/>
  <c r="K67" i="21"/>
  <c r="D65" i="20"/>
  <c r="K67" i="20"/>
  <c r="K67" i="19"/>
  <c r="D65" i="19"/>
  <c r="D65" i="17"/>
  <c r="K67" i="17"/>
  <c r="L69" i="16"/>
  <c r="E67" i="16"/>
  <c r="K70" i="3"/>
  <c r="D68" i="3"/>
  <c r="C65" i="2"/>
  <c r="I84" i="18"/>
  <c r="M69" i="4"/>
  <c r="F67" i="4"/>
  <c r="I82" i="25" l="1"/>
  <c r="D63" i="25"/>
  <c r="J82" i="25"/>
  <c r="K58" i="25"/>
  <c r="K65" i="18"/>
  <c r="K66" i="24"/>
  <c r="K76" i="24" s="1"/>
  <c r="D75" i="23"/>
  <c r="K65" i="23"/>
  <c r="D75" i="22"/>
  <c r="K65" i="22"/>
  <c r="K75" i="22" s="1"/>
  <c r="D75" i="21"/>
  <c r="K65" i="21"/>
  <c r="D75" i="20"/>
  <c r="K65" i="20"/>
  <c r="D75" i="19"/>
  <c r="K65" i="19"/>
  <c r="D84" i="18"/>
  <c r="D75" i="17"/>
  <c r="K65" i="17"/>
  <c r="E77" i="16"/>
  <c r="L67" i="16"/>
  <c r="D78" i="3"/>
  <c r="D87" i="3" s="1"/>
  <c r="K68" i="3"/>
  <c r="K78" i="3" s="1"/>
  <c r="F77" i="4"/>
  <c r="M77" i="4" s="1"/>
  <c r="M67" i="4"/>
  <c r="L77" i="16" l="1"/>
  <c r="D85" i="24"/>
  <c r="K85" i="24" s="1"/>
  <c r="D84" i="23"/>
  <c r="K84" i="23" s="1"/>
  <c r="K75" i="23"/>
  <c r="D84" i="22"/>
  <c r="D84" i="21"/>
  <c r="K75" i="21"/>
  <c r="K75" i="20"/>
  <c r="D84" i="20"/>
  <c r="K84" i="20" s="1"/>
  <c r="K75" i="19"/>
  <c r="D84" i="19"/>
  <c r="K84" i="19" s="1"/>
  <c r="D84" i="17"/>
  <c r="K75" i="17"/>
  <c r="E86" i="16"/>
  <c r="L86" i="16" s="1"/>
  <c r="K87" i="3"/>
  <c r="F86" i="4"/>
  <c r="M86" i="4" s="1"/>
  <c r="J69" i="2" l="1"/>
  <c r="K67" i="25" s="1"/>
  <c r="J65" i="2"/>
  <c r="C75" i="2"/>
  <c r="D73" i="25" s="1"/>
  <c r="D82" i="25" l="1"/>
  <c r="K82" i="25" s="1"/>
  <c r="J75" i="2"/>
  <c r="K63" i="25"/>
  <c r="K73" i="25" s="1"/>
  <c r="C84" i="2"/>
  <c r="J68" i="2"/>
  <c r="K66" i="25" s="1"/>
  <c r="J67" i="2"/>
  <c r="K65" i="25" s="1"/>
</calcChain>
</file>

<file path=xl/sharedStrings.xml><?xml version="1.0" encoding="utf-8"?>
<sst xmlns="http://schemas.openxmlformats.org/spreadsheetml/2006/main" count="1677" uniqueCount="150">
  <si>
    <t>Nr.</t>
  </si>
  <si>
    <t>Denumirea capitolelor si subcapitolelor de cheltuieli</t>
  </si>
  <si>
    <t>Valoare eligibila (fara TVA)</t>
  </si>
  <si>
    <t>Valoare neeligibila (fara TVA)</t>
  </si>
  <si>
    <t>TVA</t>
  </si>
  <si>
    <t>Valoare totala (cu TVA)</t>
  </si>
  <si>
    <t>Lei</t>
  </si>
  <si>
    <t>Euro</t>
  </si>
  <si>
    <t>Obtinerea terenului</t>
  </si>
  <si>
    <t>Amenajarea terenului</t>
  </si>
  <si>
    <t>Amenajari pentru protectia mediului si aducerea terenului la starea initiala</t>
  </si>
  <si>
    <t>Cheltuieli pentru relocarea/protectia utilitatilor</t>
  </si>
  <si>
    <t>TOTAL CAPITOL 1</t>
  </si>
  <si>
    <t>TOTAL CAPITOL 2</t>
  </si>
  <si>
    <t>Studii</t>
  </si>
  <si>
    <t>3.1.1</t>
  </si>
  <si>
    <t>Studii de teren</t>
  </si>
  <si>
    <t>3.1.2</t>
  </si>
  <si>
    <t>Raport privind impactul asupra mediului</t>
  </si>
  <si>
    <t>3.1.3</t>
  </si>
  <si>
    <t>Alte studii specifice</t>
  </si>
  <si>
    <t>Documentatii-suport si cheltuieli pentru obtinerea de avize, acorduri si autorizatii</t>
  </si>
  <si>
    <t>Expertizare tehnica</t>
  </si>
  <si>
    <t>Certificarea performantei energetice si auditul energetic al cladirilor</t>
  </si>
  <si>
    <t>Proiectare</t>
  </si>
  <si>
    <t>3.5.1</t>
  </si>
  <si>
    <t>Tema de proiectare</t>
  </si>
  <si>
    <t>3.5.2</t>
  </si>
  <si>
    <t>Studiu de prefezabilitate</t>
  </si>
  <si>
    <t>3.5.3</t>
  </si>
  <si>
    <t>Studiu de fezabilitate/documentatie de avizare a lucrarilor de interventii si deviz general</t>
  </si>
  <si>
    <t>3.5.4</t>
  </si>
  <si>
    <t>Documentatiile tehnice necesare in vederea obtinerii avizelor/acordurilor/autorizatiilor</t>
  </si>
  <si>
    <t>3.5.5</t>
  </si>
  <si>
    <t>Verificarea tehnica de calitate a proiectului tehnic si a detaliilor de executie</t>
  </si>
  <si>
    <t>3.5.6</t>
  </si>
  <si>
    <t>Proiect tehnic si detalii de executie</t>
  </si>
  <si>
    <t>Organizarea procedurilor de achizitie</t>
  </si>
  <si>
    <t>Consultanta</t>
  </si>
  <si>
    <t>3.7.1</t>
  </si>
  <si>
    <t>Managementul de proiect pentru obiectivul de investitii</t>
  </si>
  <si>
    <t>3.7.2</t>
  </si>
  <si>
    <t>Auditul financiar</t>
  </si>
  <si>
    <t>Asistenta tehnica</t>
  </si>
  <si>
    <t>3.8.1</t>
  </si>
  <si>
    <t>Asistenta tehnica din partea proiectantului</t>
  </si>
  <si>
    <t>3.8.1.1</t>
  </si>
  <si>
    <t>pe perioada de executie a lucrarilor</t>
  </si>
  <si>
    <t>3.8.1.2</t>
  </si>
  <si>
    <t>pentru participarea proiectantului la fazele incluse in programul de control al lucrarilor de executie, avizat de cate Inspectoratul de Stat in Constructii</t>
  </si>
  <si>
    <t>3.8.2</t>
  </si>
  <si>
    <t>Dirigentie de santier</t>
  </si>
  <si>
    <t>3.8.3</t>
  </si>
  <si>
    <t>Coordonator in materie de securitate şi sanatate - conform Hotararii Guvernului nr. 300/2006, cu modificarile si completarile ulterioare</t>
  </si>
  <si>
    <t>TOTAL CAPITOL 3</t>
  </si>
  <si>
    <t>Constructii si instalatii</t>
  </si>
  <si>
    <t>4.1.1</t>
  </si>
  <si>
    <t>1 Arhitectura</t>
  </si>
  <si>
    <t>4.1.2</t>
  </si>
  <si>
    <t>3 Sanitare</t>
  </si>
  <si>
    <t>4.1.3</t>
  </si>
  <si>
    <t>2 Instalatii electrice</t>
  </si>
  <si>
    <t>Montaj utilaje, echipamente tehnologice si functionale</t>
  </si>
  <si>
    <t>4.2.1</t>
  </si>
  <si>
    <t>4 Rezistenta</t>
  </si>
  <si>
    <t>4.2.2</t>
  </si>
  <si>
    <t>Utilaje, echipamente tehnologice si functionale care necesita montaj</t>
  </si>
  <si>
    <t>4.3.1</t>
  </si>
  <si>
    <t>Utilaje, echipamente tehnologice si functionale care nu necesita montaj si echipamente de transport</t>
  </si>
  <si>
    <t>Dotari</t>
  </si>
  <si>
    <t>Active necorporale</t>
  </si>
  <si>
    <t>TOTAL CAPITOL 4</t>
  </si>
  <si>
    <t>Organizare de santier</t>
  </si>
  <si>
    <t>5.1.1</t>
  </si>
  <si>
    <t>Lucrari de constructii si instalatii aferente organizarii de santier</t>
  </si>
  <si>
    <t>5.1.2</t>
  </si>
  <si>
    <t>Cheltuieli conexe organizarii santierului</t>
  </si>
  <si>
    <t>Comisioane, cote, taxe, costul creditului</t>
  </si>
  <si>
    <t>5.2.1</t>
  </si>
  <si>
    <t>Comisioanele si dobanzile aferente creditului bancii finantatoare</t>
  </si>
  <si>
    <t>5.2.2</t>
  </si>
  <si>
    <t>Cota aferenta ISC pentru controlul calitatii lucrarilor de constructii</t>
  </si>
  <si>
    <t>5.2.3</t>
  </si>
  <si>
    <t>Cota aferenta ISC pentru controlul statului in amenajarea teritoriului, urbanism si pentru autorizarea lucrarilor de constructii</t>
  </si>
  <si>
    <t>5.2.4</t>
  </si>
  <si>
    <t>Cota aferenta Casei Sociale a Constructorilor - CSC</t>
  </si>
  <si>
    <t>5.2.5</t>
  </si>
  <si>
    <t>Taxe pentru acorduri, avize conforme si autorizatia de construire/desfiintare</t>
  </si>
  <si>
    <t>Cheltuieli diverse si neprevazute</t>
  </si>
  <si>
    <t>Cheltuieli pentru informare si publicitate</t>
  </si>
  <si>
    <t>TOTAL CAPITOL 5</t>
  </si>
  <si>
    <t>Pregatirea personalului de exploatare</t>
  </si>
  <si>
    <t>Probe tehnologice si teste</t>
  </si>
  <si>
    <t>TOTAL CAPITOL 6</t>
  </si>
  <si>
    <t>Cheltuieli aferente marjei de buget 25%</t>
  </si>
  <si>
    <t>Cheltuieli pentru constituirea rezervei de implementare pentru ajustarea de pret</t>
  </si>
  <si>
    <t>TOTAL CAPITOL 7</t>
  </si>
  <si>
    <t>TOTAL Constructii+Montaj</t>
  </si>
  <si>
    <t xml:space="preserve">TOTAL </t>
  </si>
  <si>
    <t>4.1.4</t>
  </si>
  <si>
    <t>Valoare totala (fara TVA)</t>
  </si>
  <si>
    <t xml:space="preserve"> </t>
  </si>
  <si>
    <r>
      <rPr>
        <b/>
        <sz val="12"/>
        <rFont val="Times New Roman"/>
        <family val="1"/>
      </rPr>
      <t xml:space="preserve">CAPITOL 2
</t>
    </r>
    <r>
      <rPr>
        <sz val="12"/>
        <rFont val="Times New Roman"/>
        <family val="1"/>
      </rPr>
      <t>Cheltuieli pentru asigurarea utilitatilor necesare obiectivului de investitii</t>
    </r>
  </si>
  <si>
    <r>
      <rPr>
        <b/>
        <sz val="12"/>
        <color theme="1"/>
        <rFont val="Times New Roman"/>
        <family val="1"/>
      </rPr>
      <t xml:space="preserve">CAPITOL 4
</t>
    </r>
    <r>
      <rPr>
        <sz val="12"/>
        <color theme="1"/>
        <rFont val="Times New Roman"/>
        <family val="1"/>
      </rPr>
      <t>Cheltuieli pentru investitia de baza</t>
    </r>
  </si>
  <si>
    <r>
      <rPr>
        <b/>
        <sz val="12"/>
        <color theme="1"/>
        <rFont val="Times New Roman"/>
        <family val="1"/>
      </rPr>
      <t xml:space="preserve">CAPITOL 5
</t>
    </r>
    <r>
      <rPr>
        <sz val="12"/>
        <color theme="1"/>
        <rFont val="Times New Roman"/>
        <family val="1"/>
      </rPr>
      <t>Alte cheltuieli</t>
    </r>
  </si>
  <si>
    <r>
      <rPr>
        <b/>
        <sz val="12"/>
        <color theme="1"/>
        <rFont val="Times New Roman"/>
        <family val="1"/>
      </rPr>
      <t xml:space="preserve">CAPITOL 6
</t>
    </r>
    <r>
      <rPr>
        <sz val="12"/>
        <color theme="1"/>
        <rFont val="Times New Roman"/>
        <family val="1"/>
      </rPr>
      <t>Cheltuieli pentru probe tehnologice si teste</t>
    </r>
  </si>
  <si>
    <r>
      <rPr>
        <b/>
        <sz val="12"/>
        <color theme="1"/>
        <rFont val="Times New Roman"/>
        <family val="1"/>
      </rPr>
      <t xml:space="preserve">CAPITOL 7
</t>
    </r>
    <r>
      <rPr>
        <sz val="12"/>
        <color theme="1"/>
        <rFont val="Times New Roman"/>
        <family val="1"/>
      </rPr>
      <t>Cheltuieli aferente marjei de buget si pentru constituirea rezervei de implementare pentru ajustarea de pret</t>
    </r>
  </si>
  <si>
    <r>
      <rPr>
        <b/>
        <sz val="12"/>
        <rFont val="Times New Roman"/>
        <family val="1"/>
      </rPr>
      <t xml:space="preserve">CAPITOL 1
</t>
    </r>
    <r>
      <rPr>
        <sz val="12"/>
        <rFont val="Times New Roman"/>
        <family val="1"/>
      </rPr>
      <t>Cheltuieli pentru obtinerea si amenajarea terenului</t>
    </r>
  </si>
  <si>
    <r>
      <rPr>
        <b/>
        <sz val="12"/>
        <rFont val="Times New Roman"/>
        <family val="1"/>
      </rPr>
      <t xml:space="preserve">CAPITOL 4
</t>
    </r>
    <r>
      <rPr>
        <sz val="12"/>
        <rFont val="Times New Roman"/>
        <family val="1"/>
      </rPr>
      <t>Cheltuieli pentru investitia de baza</t>
    </r>
  </si>
  <si>
    <r>
      <rPr>
        <b/>
        <sz val="12"/>
        <rFont val="Times New Roman"/>
        <family val="1"/>
      </rPr>
      <t xml:space="preserve">CAPITOL 5
</t>
    </r>
    <r>
      <rPr>
        <sz val="12"/>
        <rFont val="Times New Roman"/>
        <family val="1"/>
      </rPr>
      <t>Alte cheltuieli</t>
    </r>
  </si>
  <si>
    <r>
      <rPr>
        <b/>
        <sz val="12"/>
        <rFont val="Times New Roman"/>
        <family val="1"/>
      </rPr>
      <t xml:space="preserve">CAPITOL 6
</t>
    </r>
    <r>
      <rPr>
        <sz val="12"/>
        <rFont val="Times New Roman"/>
        <family val="1"/>
      </rPr>
      <t>Cheltuieli pentru probe tehnologice si teste</t>
    </r>
  </si>
  <si>
    <r>
      <rPr>
        <b/>
        <sz val="12"/>
        <rFont val="Times New Roman"/>
        <family val="1"/>
      </rPr>
      <t xml:space="preserve">CAPITOL 7
</t>
    </r>
    <r>
      <rPr>
        <sz val="12"/>
        <rFont val="Times New Roman"/>
        <family val="1"/>
      </rPr>
      <t>Cheltuieli aferente marjei de buget si pentru constituirea rezervei de implementare pentru ajustarea de pret</t>
    </r>
  </si>
  <si>
    <t>Lei 21%</t>
  </si>
  <si>
    <t>3.4.1</t>
  </si>
  <si>
    <t>3.4.2</t>
  </si>
  <si>
    <t>5.4.1</t>
  </si>
  <si>
    <t>5.4.2</t>
  </si>
  <si>
    <t>Cheltuieli pentru informare si publicitate inceput proiect</t>
  </si>
  <si>
    <t xml:space="preserve">Lei 19% </t>
  </si>
  <si>
    <t>Certificarea performantei energetice si auditul energetic al cladirilor inceput proiect</t>
  </si>
  <si>
    <t>Certificarea performantei energetice si auditul energetic al cladirilor sfarsit proiect</t>
  </si>
  <si>
    <t>Cheltuieli pentru informare si publicitate sfarsit proiect</t>
  </si>
  <si>
    <t>Lei 19%</t>
  </si>
  <si>
    <t>Lei 19 %</t>
  </si>
  <si>
    <t xml:space="preserve">Lei 21% </t>
  </si>
  <si>
    <t xml:space="preserve">Lei 21 % </t>
  </si>
  <si>
    <t xml:space="preserve">Lei 19 % </t>
  </si>
  <si>
    <t>Cheltuieli pentru informare si publicitate inceput proiec</t>
  </si>
  <si>
    <t>Cheltuieli pentru informare si publicitate sfarsit proiec</t>
  </si>
  <si>
    <t>Cheltuieli pentru informare si publicitate inceput proiect sfarsit proiect</t>
  </si>
  <si>
    <t>CAPITOL 3
Cheltuieli pentru proiectare si asistenta tehnica</t>
  </si>
  <si>
    <t>5.41.</t>
  </si>
  <si>
    <r>
      <rPr>
        <b/>
        <sz val="12"/>
        <color theme="1"/>
        <rFont val="Times New Roman"/>
        <family val="1"/>
      </rPr>
      <t xml:space="preserve">CAPITOL 3
</t>
    </r>
    <r>
      <rPr>
        <sz val="12"/>
        <color theme="1"/>
        <rFont val="Times New Roman"/>
        <family val="1"/>
      </rPr>
      <t>Cheltuieli pentru proiectare si asistenta tehnica</t>
    </r>
  </si>
  <si>
    <r>
      <t xml:space="preserve">Beneficiar:         UAT Oras Turceni, Jud. Gorj Executant:
Proiectant:        SC Building Consulting Tower
Obiectivul:        CREȘTEREA EFICIENȚEI ENERGETICE A BLOCURILOR DE LOCUINȚE DIN ORAȘUL TURCENI, JUDEȚUL GORJ 
</t>
    </r>
    <r>
      <rPr>
        <b/>
        <sz val="12"/>
        <rFont val="Times New Roman"/>
        <family val="1"/>
      </rPr>
      <t xml:space="preserve">                                                                  DEVIZ GENERAL actualizat la data de 15.04.2026
                                                                    privind cheltuielile necesare realizarii blocului 36 
</t>
    </r>
  </si>
  <si>
    <t>Proiectant</t>
  </si>
  <si>
    <r>
      <t xml:space="preserve">Beneficiar:         UAT Oras Turceni, Jud. Gorj Executant:
Proiectant:        SC Building Consulting Tower
Obiectivul:        CREȘTEREA EFICIENȚEI ENERGETICE A BLOCURILOR DE LOCUINȚE DIN ORAȘUL TURCENI, JUDEȚUL GORJ 
</t>
    </r>
    <r>
      <rPr>
        <b/>
        <sz val="12"/>
        <rFont val="Times New Roman"/>
        <family val="1"/>
      </rPr>
      <t xml:space="preserve">                                                                  DEVIZ GENERAL actualizat la data de 15.04.2026
                                                                    privind cheltuielile necesare realizarii blocului 37 
</t>
    </r>
  </si>
  <si>
    <r>
      <t xml:space="preserve">Beneficiar:         UAT Oras Turceni, Jud. Gorj Executant:
Proiectant:        SC Building Consulting Tower
Obiectivul:        CREȘTEREA EFICIENȚEI ENERGETICE A BLOCURILOR DE LOCUINȚE DIN ORAȘUL TURCENI, JUDEȚUL GORJ 
</t>
    </r>
    <r>
      <rPr>
        <b/>
        <sz val="12"/>
        <rFont val="Times New Roman"/>
        <family val="1"/>
      </rPr>
      <t xml:space="preserve">                                                                  DEVIZ GENERAL actualizat la data de 15.04.2026
                                                                    privind cheltuielile necesare realizarii blocului 38 
</t>
    </r>
  </si>
  <si>
    <r>
      <t xml:space="preserve">Beneficiar:         UAT Oras Turceni, Jud. Gorj Executant:
Proiectant:        SC Building Consulting Tower
Obiectivul:        CREȘTEREA EFICIENȚEI ENERGETICE A BLOCURILOR DE LOCUINȚE DIN ORAȘUL TURCENI, JUDEȚUL GORJ 
</t>
    </r>
    <r>
      <rPr>
        <b/>
        <sz val="12"/>
        <rFont val="Times New Roman"/>
        <family val="1"/>
      </rPr>
      <t xml:space="preserve">                                                                  DEVIZ GENERAL actualizat la data de 15.04.2026
                                                                    privind cheltuielile necesare realizarii blocului 39 
</t>
    </r>
  </si>
  <si>
    <r>
      <t xml:space="preserve">Beneficiar:         UAT Oras Turceni, Jud. Gorj Executant:
Proiectant:        SC Building Consulting Tower
Obiectivul:        CREȘTEREA EFICIENȚEI ENERGETICE A BLOCURILOR DE LOCUINȚE DIN ORAȘUL TURCENI, JUDEȚUL GORJ 
</t>
    </r>
    <r>
      <rPr>
        <b/>
        <sz val="12"/>
        <rFont val="Times New Roman"/>
        <family val="1"/>
      </rPr>
      <t xml:space="preserve">                                                                  DEVIZ GENERAL actualizat la data de 15.04.2026
                                                                    privind cheltuielile necesare realizarii blocului 40 
</t>
    </r>
  </si>
  <si>
    <r>
      <t xml:space="preserve">Beneficiar:         UAT Oras Turceni, Jud. Gorj Executant:
Proiectant:        SC Building Consulting Tower
Obiectivul:        CREȘTEREA EFICIENȚEI ENERGETICE A BLOCURILOR DE LOCUINȚE DIN ORAȘUL TURCENI, JUDEȚUL GORJ 
</t>
    </r>
    <r>
      <rPr>
        <b/>
        <sz val="12"/>
        <rFont val="Times New Roman"/>
        <family val="1"/>
      </rPr>
      <t xml:space="preserve">                                                                  DEVIZ GENERAL actualizat la data de 15.04.2026
                                                                    privind cheltuielile necesare realizarii blocului 41 
</t>
    </r>
  </si>
  <si>
    <r>
      <t xml:space="preserve">Beneficiar:         UAT Oras Turceni, Jud. Gorj Executant:
Proiectant:        SC Building Consulting Tower
Obiectivul:        CREȘTEREA EFICIENȚEI ENERGETICE A BLOCURILOR DE LOCUINȚE DIN ORAȘUL TURCENI, JUDEȚUL GORJ 
</t>
    </r>
    <r>
      <rPr>
        <b/>
        <sz val="12"/>
        <rFont val="Times New Roman"/>
        <family val="1"/>
      </rPr>
      <t xml:space="preserve">                                                                  DEVIZ GENERAL actualizat la data de 15.04.2026
                                                                    privind cheltuielile necesare realizarii blocului 42 
</t>
    </r>
  </si>
  <si>
    <r>
      <t xml:space="preserve">Beneficiar:         UAT Oras Turceni, Jud. Gorj Executant:
Proiectant:        SC Building Consulting Tower
Obiectivul:        CREȘTEREA EFICIENȚEI ENERGETICE A BLOCURILOR DE LOCUINȚE DIN ORAȘUL TURCENI, JUDEȚUL GORJ 
</t>
    </r>
    <r>
      <rPr>
        <b/>
        <sz val="12"/>
        <rFont val="Times New Roman"/>
        <family val="1"/>
      </rPr>
      <t xml:space="preserve">                                                                  DEVIZ GENERAL actualizat la data de 15.04.2026
                                                                    privind cheltuielile necesare realizarii blocului 43 
</t>
    </r>
  </si>
  <si>
    <r>
      <t xml:space="preserve">Beneficiar:         UAT Oras Turceni, Jud. Gorj Executant:
Proiectant:        SC Building Consulting Tower
Obiectivul:        CREȘTEREA EFICIENȚEI ENERGETICE A BLOCURILOR DE LOCUINȚE DIN ORAȘUL TURCENI, JUDEȚUL GORJ 
</t>
    </r>
    <r>
      <rPr>
        <b/>
        <sz val="12"/>
        <rFont val="Times New Roman"/>
        <family val="1"/>
      </rPr>
      <t xml:space="preserve">                                                                  DEVIZ GENERAL actualizat la data de 15.04.2026
                                                                    privind cheltuielile necesare realizarii blocului 44 
</t>
    </r>
  </si>
  <si>
    <r>
      <t xml:space="preserve">Beneficiar:         UAT Oras Turceni, Jud. Gorj Executant:
Proiectant:        SC Building Consulting Tower
Obiectivul:        CREȘTEREA EFICIENȚEI ENERGETICE A BLOCURILOR DE LOCUINȚE DIN ORAȘUL TURCENI, JUDEȚUL GORJ 
</t>
    </r>
    <r>
      <rPr>
        <b/>
        <sz val="12"/>
        <rFont val="Times New Roman"/>
        <family val="1"/>
      </rPr>
      <t xml:space="preserve">                                                                  DEVIZ GENERAL actualizat la data de 15.04.2026
                                                                    privind cheltuielile necesare realizarii blocului 45 
</t>
    </r>
  </si>
  <si>
    <r>
      <t xml:space="preserve">Beneficiar:         UAT Oras Turceni, Jud. Gorj Executant:
Proiectant:        SC Building Consulting Tower
Obiectivul:        CREȘTEREA EFICIENȚEI ENERGETICE A BLOCURILOR DE LOCUINȚE DIN ORAȘUL TURCENI, JUDEȚUL GORJ 
</t>
    </r>
    <r>
      <rPr>
        <b/>
        <sz val="12"/>
        <rFont val="Times New Roman"/>
        <family val="1"/>
      </rPr>
      <t xml:space="preserve">                                                                  DEVIZ GENERAL actualizat la data de 15.04.2026
                                                                    privind cheltuielile necesare realizarii blocului 46 
</t>
    </r>
  </si>
  <si>
    <r>
      <t xml:space="preserve">Beneficiar:         UAT Oras Turceni, Jud. Gorj Executant:
Proiectant:        SC Building Consulting Tower
Obiectivul:        CREȘTEREA EFICIENȚEI ENERGETICE A BLOCURILOR DE LOCUINȚE DIN ORAȘUL TURCENI, JUDEȚUL GORJ 
</t>
    </r>
    <r>
      <rPr>
        <b/>
        <sz val="12"/>
        <rFont val="Times New Roman"/>
        <family val="1"/>
      </rPr>
      <t xml:space="preserve">                                                                  DEVIZ GENERAL actualizat la data de 15.04.2026
                                                                    privind cheltuielile necesare realizarii blocului 47 
</t>
    </r>
  </si>
  <si>
    <r>
      <t xml:space="preserve">Beneficiar:         UAT Oras Turceni, Jud. Gorj Executant:
Proiectant:        SC Building Consulting Tower
Obiectivul:        CREȘTEREA EFICIENȚEI ENERGETICE A BLOCURILOR DE LOCUINȚE DIN ORAȘUL TURCENI, JUDEȚUL GORJ 
</t>
    </r>
    <r>
      <rPr>
        <b/>
        <sz val="12"/>
        <rFont val="Times New Roman"/>
        <family val="1"/>
      </rPr>
      <t xml:space="preserve">                                                    DEVIZ GENERAL actualizat la data de 15.04.2026
                                privind cheltuielile necesare realizarii a 12 blocuri (36,37,38,39,40,41,42,43,44,45,46,47) 
</t>
    </r>
  </si>
  <si>
    <t xml:space="preserve">Oras Turceni    </t>
  </si>
  <si>
    <t xml:space="preserve">Beneficiar                                                                  </t>
  </si>
  <si>
    <t>SC Building Consulting Tower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</si>
</sst>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b/>
      <sz val="9"/>
      <color rgb="FF000000"/>
      <name val="Times New Roman"/>
      <family val="1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b/>
      <sz val="9"/>
      <color rgb="FFFF0000"/>
      <name val="Times New Roman"/>
      <family val="1"/>
    </font>
    <font>
      <sz val="10"/>
      <color rgb="FFFF0000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rgb="FFFF0000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2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6"/>
      <color rgb="FF000000"/>
      <name val="Times New Roman"/>
      <family val="1"/>
    </font>
    <font>
      <sz val="10"/>
      <color rgb="FF92D05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BFBFBF"/>
      </patternFill>
    </fill>
  </fills>
  <borders count="43">
    <border>
      <left/>
      <right/>
      <top/>
      <bottom/>
      <diagonal/>
    </border>
    <border>
      <left style="thin">
        <color rgb="FF4E4E4E"/>
      </left>
      <right style="thin">
        <color rgb="FF000000"/>
      </right>
      <top style="thin">
        <color rgb="FF4E4E4E"/>
      </top>
      <bottom style="thin">
        <color rgb="FF000000"/>
      </bottom>
      <diagonal/>
    </border>
    <border>
      <left style="thin">
        <color rgb="FF4E4E4E"/>
      </left>
      <right style="thin">
        <color rgb="FF000000"/>
      </right>
      <top style="thin">
        <color rgb="FF4E4E4E"/>
      </top>
      <bottom/>
      <diagonal/>
    </border>
    <border>
      <left style="thin">
        <color rgb="FF4E4E4E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4E4E4E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4E4E4E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4E4E4E"/>
      </top>
      <bottom style="thin">
        <color rgb="FF000000"/>
      </bottom>
      <diagonal/>
    </border>
    <border>
      <left/>
      <right style="thin">
        <color rgb="FF000000"/>
      </right>
      <top style="thin">
        <color rgb="FF4E4E4E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4E4E4E"/>
      </right>
      <top style="thin">
        <color rgb="FF000000"/>
      </top>
      <bottom style="thin">
        <color rgb="FF000000"/>
      </bottom>
      <diagonal/>
    </border>
    <border>
      <left style="thin">
        <color rgb="FF4E4E4E"/>
      </left>
      <right style="thin">
        <color rgb="FF000000"/>
      </right>
      <top style="thin">
        <color rgb="FF000000"/>
      </top>
      <bottom style="thin">
        <color rgb="FF4E4E4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4E4E4E"/>
      </bottom>
      <diagonal/>
    </border>
    <border>
      <left style="thin">
        <color rgb="FF000000"/>
      </left>
      <right style="thin">
        <color rgb="FF4E4E4E"/>
      </right>
      <top style="thin">
        <color rgb="FF000000"/>
      </top>
      <bottom style="thin">
        <color rgb="FF4E4E4E"/>
      </bottom>
      <diagonal/>
    </border>
    <border>
      <left style="thin">
        <color rgb="FF4E4E4E"/>
      </left>
      <right/>
      <top style="thin">
        <color rgb="FF4E4E4E"/>
      </top>
      <bottom style="thin">
        <color rgb="FF000000"/>
      </bottom>
      <diagonal/>
    </border>
    <border>
      <left/>
      <right/>
      <top style="thin">
        <color rgb="FF4E4E4E"/>
      </top>
      <bottom style="thin">
        <color rgb="FF000000"/>
      </bottom>
      <diagonal/>
    </border>
    <border>
      <left/>
      <right style="thin">
        <color rgb="FF4E4E4E"/>
      </right>
      <top style="thin">
        <color rgb="FF4E4E4E"/>
      </top>
      <bottom style="thin">
        <color rgb="FF000000"/>
      </bottom>
      <diagonal/>
    </border>
    <border>
      <left style="thin">
        <color rgb="FF4E4E4E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4E4E4E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4E4E4E"/>
      </right>
      <top style="thin">
        <color rgb="FF4E4E4E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4E4E4E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4E4E4E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4E4E4E"/>
      </bottom>
      <diagonal/>
    </border>
    <border>
      <left/>
      <right style="thin">
        <color rgb="FF000000"/>
      </right>
      <top style="thin">
        <color rgb="FF000000"/>
      </top>
      <bottom style="thin">
        <color rgb="FF4E4E4E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4E4E4E"/>
      </right>
      <top/>
      <bottom style="thin">
        <color rgb="FF000000"/>
      </bottom>
      <diagonal/>
    </border>
    <border>
      <left/>
      <right style="thin">
        <color rgb="FF4E4E4E"/>
      </right>
      <top style="thin">
        <color rgb="FF000000"/>
      </top>
      <bottom style="thin">
        <color rgb="FF4E4E4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4E4E4E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4E4E4E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4E4E4E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9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4" fontId="6" fillId="0" borderId="0" xfId="0" applyNumberFormat="1" applyFont="1" applyAlignment="1">
      <alignment horizontal="center" vertical="top" shrinkToFit="1"/>
    </xf>
    <xf numFmtId="4" fontId="4" fillId="0" borderId="0" xfId="0" applyNumberFormat="1" applyFont="1" applyAlignment="1">
      <alignment horizontal="center" vertical="top" shrinkToFit="1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4" fontId="11" fillId="0" borderId="0" xfId="0" applyNumberFormat="1" applyFont="1" applyAlignment="1">
      <alignment horizontal="center" vertical="top" shrinkToFit="1"/>
    </xf>
    <xf numFmtId="4" fontId="7" fillId="0" borderId="0" xfId="0" applyNumberFormat="1" applyFont="1" applyAlignment="1">
      <alignment horizontal="center" vertical="top" shrinkToFit="1"/>
    </xf>
    <xf numFmtId="2" fontId="14" fillId="0" borderId="9" xfId="0" applyNumberFormat="1" applyFont="1" applyBorder="1" applyAlignment="1">
      <alignment horizontal="center" vertical="top" shrinkToFit="1"/>
    </xf>
    <xf numFmtId="2" fontId="14" fillId="0" borderId="10" xfId="0" applyNumberFormat="1" applyFont="1" applyBorder="1" applyAlignment="1">
      <alignment horizontal="center" vertical="top" shrinkToFit="1"/>
    </xf>
    <xf numFmtId="164" fontId="15" fillId="0" borderId="17" xfId="0" applyNumberFormat="1" applyFont="1" applyBorder="1" applyAlignment="1">
      <alignment horizontal="center" vertical="top" shrinkToFit="1"/>
    </xf>
    <xf numFmtId="0" fontId="15" fillId="0" borderId="9" xfId="0" applyFont="1" applyBorder="1" applyAlignment="1">
      <alignment horizontal="center" vertical="top" wrapText="1"/>
    </xf>
    <xf numFmtId="2" fontId="15" fillId="0" borderId="9" xfId="0" applyNumberFormat="1" applyFont="1" applyBorder="1" applyAlignment="1">
      <alignment horizontal="center" vertical="top" shrinkToFit="1"/>
    </xf>
    <xf numFmtId="2" fontId="15" fillId="0" borderId="10" xfId="0" applyNumberFormat="1" applyFont="1" applyBorder="1" applyAlignment="1">
      <alignment horizontal="center" vertical="top" shrinkToFit="1"/>
    </xf>
    <xf numFmtId="0" fontId="15" fillId="0" borderId="17" xfId="0" applyFont="1" applyBorder="1" applyAlignment="1">
      <alignment horizontal="center" vertical="top" wrapText="1"/>
    </xf>
    <xf numFmtId="164" fontId="15" fillId="0" borderId="1" xfId="0" applyNumberFormat="1" applyFont="1" applyBorder="1" applyAlignment="1">
      <alignment horizontal="center" vertical="top" shrinkToFit="1"/>
    </xf>
    <xf numFmtId="0" fontId="15" fillId="0" borderId="4" xfId="0" applyFont="1" applyBorder="1" applyAlignment="1">
      <alignment horizontal="center" vertical="top" wrapText="1"/>
    </xf>
    <xf numFmtId="2" fontId="15" fillId="0" borderId="4" xfId="0" applyNumberFormat="1" applyFont="1" applyBorder="1" applyAlignment="1">
      <alignment horizontal="center" vertical="top" shrinkToFit="1"/>
    </xf>
    <xf numFmtId="2" fontId="15" fillId="0" borderId="6" xfId="0" applyNumberFormat="1" applyFont="1" applyBorder="1" applyAlignment="1">
      <alignment horizontal="center" vertical="top" shrinkToFit="1"/>
    </xf>
    <xf numFmtId="2" fontId="15" fillId="0" borderId="20" xfId="0" applyNumberFormat="1" applyFont="1" applyBorder="1" applyAlignment="1">
      <alignment horizontal="center" vertical="top" shrinkToFit="1"/>
    </xf>
    <xf numFmtId="0" fontId="15" fillId="0" borderId="1" xfId="0" applyFont="1" applyBorder="1" applyAlignment="1">
      <alignment horizontal="center" vertical="top" wrapText="1"/>
    </xf>
    <xf numFmtId="2" fontId="10" fillId="0" borderId="9" xfId="0" applyNumberFormat="1" applyFont="1" applyBorder="1" applyAlignment="1">
      <alignment horizontal="center" vertical="top" shrinkToFit="1"/>
    </xf>
    <xf numFmtId="2" fontId="10" fillId="0" borderId="10" xfId="0" applyNumberFormat="1" applyFont="1" applyBorder="1" applyAlignment="1">
      <alignment horizontal="center" vertical="top" shrinkToFit="1"/>
    </xf>
    <xf numFmtId="0" fontId="16" fillId="0" borderId="17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2" fontId="16" fillId="0" borderId="9" xfId="0" applyNumberFormat="1" applyFont="1" applyBorder="1" applyAlignment="1">
      <alignment horizontal="center" vertical="top" shrinkToFit="1"/>
    </xf>
    <xf numFmtId="4" fontId="15" fillId="0" borderId="9" xfId="0" applyNumberFormat="1" applyFont="1" applyBorder="1" applyAlignment="1">
      <alignment horizontal="center" vertical="top" shrinkToFit="1"/>
    </xf>
    <xf numFmtId="2" fontId="16" fillId="0" borderId="10" xfId="0" applyNumberFormat="1" applyFont="1" applyBorder="1" applyAlignment="1">
      <alignment horizontal="center" vertical="top" shrinkToFit="1"/>
    </xf>
    <xf numFmtId="4" fontId="16" fillId="0" borderId="9" xfId="0" applyNumberFormat="1" applyFont="1" applyBorder="1" applyAlignment="1">
      <alignment horizontal="center" vertical="top" shrinkToFit="1"/>
    </xf>
    <xf numFmtId="4" fontId="16" fillId="0" borderId="10" xfId="0" applyNumberFormat="1" applyFont="1" applyBorder="1" applyAlignment="1">
      <alignment horizontal="center" vertical="top" shrinkToFit="1"/>
    </xf>
    <xf numFmtId="4" fontId="15" fillId="0" borderId="10" xfId="0" applyNumberFormat="1" applyFont="1" applyBorder="1" applyAlignment="1">
      <alignment horizontal="center" vertical="top" shrinkToFit="1"/>
    </xf>
    <xf numFmtId="4" fontId="15" fillId="0" borderId="4" xfId="0" applyNumberFormat="1" applyFont="1" applyBorder="1" applyAlignment="1">
      <alignment horizontal="center" vertical="top" shrinkToFit="1"/>
    </xf>
    <xf numFmtId="4" fontId="15" fillId="0" borderId="20" xfId="0" applyNumberFormat="1" applyFont="1" applyBorder="1" applyAlignment="1">
      <alignment horizontal="center" vertical="top" shrinkToFit="1"/>
    </xf>
    <xf numFmtId="4" fontId="10" fillId="0" borderId="10" xfId="0" applyNumberFormat="1" applyFont="1" applyBorder="1" applyAlignment="1">
      <alignment horizontal="center" vertical="top" shrinkToFit="1"/>
    </xf>
    <xf numFmtId="0" fontId="15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1" fontId="14" fillId="0" borderId="11" xfId="0" applyNumberFormat="1" applyFont="1" applyBorder="1" applyAlignment="1">
      <alignment horizontal="center" vertical="top" shrinkToFit="1"/>
    </xf>
    <xf numFmtId="1" fontId="14" fillId="0" borderId="12" xfId="0" applyNumberFormat="1" applyFont="1" applyBorder="1" applyAlignment="1">
      <alignment horizontal="center" vertical="top" shrinkToFit="1"/>
    </xf>
    <xf numFmtId="1" fontId="14" fillId="0" borderId="13" xfId="0" applyNumberFormat="1" applyFont="1" applyBorder="1" applyAlignment="1">
      <alignment horizontal="center" vertical="top" shrinkToFit="1"/>
    </xf>
    <xf numFmtId="0" fontId="12" fillId="0" borderId="0" xfId="0" applyFont="1" applyAlignment="1">
      <alignment horizontal="center" wrapText="1"/>
    </xf>
    <xf numFmtId="164" fontId="12" fillId="0" borderId="17" xfId="0" applyNumberFormat="1" applyFont="1" applyBorder="1" applyAlignment="1">
      <alignment horizontal="center" vertical="top" shrinkToFit="1"/>
    </xf>
    <xf numFmtId="0" fontId="13" fillId="0" borderId="9" xfId="0" applyFont="1" applyBorder="1" applyAlignment="1">
      <alignment horizontal="center" vertical="top" wrapText="1"/>
    </xf>
    <xf numFmtId="2" fontId="12" fillId="0" borderId="9" xfId="0" applyNumberFormat="1" applyFont="1" applyBorder="1" applyAlignment="1">
      <alignment horizontal="center" vertical="top" shrinkToFit="1"/>
    </xf>
    <xf numFmtId="2" fontId="12" fillId="0" borderId="10" xfId="0" applyNumberFormat="1" applyFont="1" applyBorder="1" applyAlignment="1">
      <alignment horizontal="center" vertical="top" shrinkToFit="1"/>
    </xf>
    <xf numFmtId="2" fontId="15" fillId="0" borderId="9" xfId="0" applyNumberFormat="1" applyFont="1" applyBorder="1" applyAlignment="1">
      <alignment horizontal="center" vertical="top" wrapText="1" shrinkToFit="1"/>
    </xf>
    <xf numFmtId="2" fontId="15" fillId="0" borderId="10" xfId="0" applyNumberFormat="1" applyFont="1" applyBorder="1" applyAlignment="1">
      <alignment horizontal="center" vertical="top" wrapText="1" shrinkToFit="1"/>
    </xf>
    <xf numFmtId="0" fontId="0" fillId="0" borderId="0" xfId="0" applyAlignment="1">
      <alignment horizontal="left" vertical="top" wrapText="1"/>
    </xf>
    <xf numFmtId="1" fontId="14" fillId="0" borderId="11" xfId="0" applyNumberFormat="1" applyFont="1" applyBorder="1" applyAlignment="1">
      <alignment horizontal="center" vertical="top" wrapText="1" shrinkToFit="1"/>
    </xf>
    <xf numFmtId="1" fontId="14" fillId="0" borderId="12" xfId="0" applyNumberFormat="1" applyFont="1" applyBorder="1" applyAlignment="1">
      <alignment horizontal="center" vertical="top" wrapText="1" shrinkToFit="1"/>
    </xf>
    <xf numFmtId="1" fontId="14" fillId="0" borderId="13" xfId="0" applyNumberFormat="1" applyFont="1" applyBorder="1" applyAlignment="1">
      <alignment horizontal="center" vertical="top" wrapText="1" shrinkToFit="1"/>
    </xf>
    <xf numFmtId="164" fontId="12" fillId="0" borderId="17" xfId="0" applyNumberFormat="1" applyFont="1" applyBorder="1" applyAlignment="1">
      <alignment horizontal="center" vertical="top" wrapText="1" shrinkToFit="1"/>
    </xf>
    <xf numFmtId="2" fontId="12" fillId="0" borderId="9" xfId="0" applyNumberFormat="1" applyFont="1" applyBorder="1" applyAlignment="1">
      <alignment horizontal="center" vertical="top" wrapText="1" shrinkToFit="1"/>
    </xf>
    <xf numFmtId="2" fontId="12" fillId="0" borderId="10" xfId="0" applyNumberFormat="1" applyFont="1" applyBorder="1" applyAlignment="1">
      <alignment horizontal="center" vertical="top" wrapText="1" shrinkToFit="1"/>
    </xf>
    <xf numFmtId="2" fontId="14" fillId="0" borderId="9" xfId="0" applyNumberFormat="1" applyFont="1" applyBorder="1" applyAlignment="1">
      <alignment horizontal="center" vertical="top" wrapText="1" shrinkToFit="1"/>
    </xf>
    <xf numFmtId="2" fontId="14" fillId="0" borderId="10" xfId="0" applyNumberFormat="1" applyFont="1" applyBorder="1" applyAlignment="1">
      <alignment horizontal="center" vertical="top" wrapText="1" shrinkToFit="1"/>
    </xf>
    <xf numFmtId="164" fontId="15" fillId="0" borderId="17" xfId="0" applyNumberFormat="1" applyFont="1" applyBorder="1" applyAlignment="1">
      <alignment horizontal="center" vertical="top" wrapText="1" shrinkToFit="1"/>
    </xf>
    <xf numFmtId="164" fontId="15" fillId="0" borderId="1" xfId="0" applyNumberFormat="1" applyFont="1" applyBorder="1" applyAlignment="1">
      <alignment horizontal="center" vertical="top" wrapText="1" shrinkToFit="1"/>
    </xf>
    <xf numFmtId="2" fontId="15" fillId="0" borderId="4" xfId="0" applyNumberFormat="1" applyFont="1" applyBorder="1" applyAlignment="1">
      <alignment horizontal="center" vertical="top" wrapText="1" shrinkToFit="1"/>
    </xf>
    <xf numFmtId="2" fontId="15" fillId="0" borderId="6" xfId="0" applyNumberFormat="1" applyFont="1" applyBorder="1" applyAlignment="1">
      <alignment horizontal="center" vertical="top" wrapText="1" shrinkToFit="1"/>
    </xf>
    <xf numFmtId="2" fontId="15" fillId="0" borderId="20" xfId="0" applyNumberFormat="1" applyFont="1" applyBorder="1" applyAlignment="1">
      <alignment horizontal="center" vertical="top" wrapText="1" shrinkToFit="1"/>
    </xf>
    <xf numFmtId="2" fontId="10" fillId="0" borderId="9" xfId="0" applyNumberFormat="1" applyFont="1" applyBorder="1" applyAlignment="1">
      <alignment horizontal="center" vertical="top" wrapText="1" shrinkToFit="1"/>
    </xf>
    <xf numFmtId="2" fontId="10" fillId="0" borderId="10" xfId="0" applyNumberFormat="1" applyFont="1" applyBorder="1" applyAlignment="1">
      <alignment horizontal="center" vertical="top" wrapText="1" shrinkToFit="1"/>
    </xf>
    <xf numFmtId="2" fontId="16" fillId="0" borderId="9" xfId="0" applyNumberFormat="1" applyFont="1" applyBorder="1" applyAlignment="1">
      <alignment horizontal="center" vertical="top" wrapText="1" shrinkToFit="1"/>
    </xf>
    <xf numFmtId="4" fontId="15" fillId="0" borderId="9" xfId="0" applyNumberFormat="1" applyFont="1" applyBorder="1" applyAlignment="1">
      <alignment horizontal="center" vertical="top" wrapText="1" shrinkToFit="1"/>
    </xf>
    <xf numFmtId="2" fontId="16" fillId="0" borderId="10" xfId="0" applyNumberFormat="1" applyFont="1" applyBorder="1" applyAlignment="1">
      <alignment horizontal="center" vertical="top" wrapText="1" shrinkToFit="1"/>
    </xf>
    <xf numFmtId="4" fontId="16" fillId="0" borderId="9" xfId="0" applyNumberFormat="1" applyFont="1" applyBorder="1" applyAlignment="1">
      <alignment horizontal="center" vertical="top" wrapText="1" shrinkToFit="1"/>
    </xf>
    <xf numFmtId="4" fontId="16" fillId="0" borderId="10" xfId="0" applyNumberFormat="1" applyFont="1" applyBorder="1" applyAlignment="1">
      <alignment horizontal="center" vertical="top" wrapText="1" shrinkToFit="1"/>
    </xf>
    <xf numFmtId="4" fontId="15" fillId="0" borderId="10" xfId="0" applyNumberFormat="1" applyFont="1" applyBorder="1" applyAlignment="1">
      <alignment horizontal="center" vertical="top" wrapText="1" shrinkToFit="1"/>
    </xf>
    <xf numFmtId="4" fontId="15" fillId="0" borderId="4" xfId="0" applyNumberFormat="1" applyFont="1" applyBorder="1" applyAlignment="1">
      <alignment horizontal="center" vertical="top" wrapText="1" shrinkToFit="1"/>
    </xf>
    <xf numFmtId="4" fontId="15" fillId="0" borderId="20" xfId="0" applyNumberFormat="1" applyFont="1" applyBorder="1" applyAlignment="1">
      <alignment horizontal="center" vertical="top" wrapText="1" shrinkToFit="1"/>
    </xf>
    <xf numFmtId="4" fontId="10" fillId="0" borderId="10" xfId="0" applyNumberFormat="1" applyFont="1" applyBorder="1" applyAlignment="1">
      <alignment horizontal="center" vertical="top" wrapText="1" shrinkToFit="1"/>
    </xf>
    <xf numFmtId="4" fontId="11" fillId="0" borderId="0" xfId="0" applyNumberFormat="1" applyFont="1" applyAlignment="1">
      <alignment horizontal="center" vertical="top" wrapText="1" shrinkToFit="1"/>
    </xf>
    <xf numFmtId="4" fontId="7" fillId="0" borderId="0" xfId="0" applyNumberFormat="1" applyFont="1" applyAlignment="1">
      <alignment horizontal="center" vertical="top" wrapText="1" shrinkToFit="1"/>
    </xf>
    <xf numFmtId="4" fontId="6" fillId="0" borderId="0" xfId="0" applyNumberFormat="1" applyFont="1" applyAlignment="1">
      <alignment horizontal="center" vertical="top" wrapText="1" shrinkToFit="1"/>
    </xf>
    <xf numFmtId="4" fontId="4" fillId="0" borderId="0" xfId="0" applyNumberFormat="1" applyFont="1" applyAlignment="1">
      <alignment horizontal="center" vertical="top" wrapText="1" shrinkToFit="1"/>
    </xf>
    <xf numFmtId="0" fontId="2" fillId="0" borderId="22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2" fillId="0" borderId="0" xfId="0" applyFont="1" applyAlignment="1">
      <alignment horizontal="left" vertical="top"/>
    </xf>
    <xf numFmtId="4" fontId="10" fillId="0" borderId="9" xfId="0" applyNumberFormat="1" applyFont="1" applyBorder="1" applyAlignment="1">
      <alignment horizontal="center" vertical="top" wrapText="1" shrinkToFit="1"/>
    </xf>
    <xf numFmtId="4" fontId="10" fillId="0" borderId="9" xfId="0" applyNumberFormat="1" applyFont="1" applyBorder="1" applyAlignment="1">
      <alignment horizontal="center" vertical="top" shrinkToFit="1"/>
    </xf>
    <xf numFmtId="2" fontId="10" fillId="2" borderId="9" xfId="0" applyNumberFormat="1" applyFont="1" applyFill="1" applyBorder="1" applyAlignment="1">
      <alignment horizontal="center" vertical="top" wrapText="1"/>
    </xf>
    <xf numFmtId="2" fontId="10" fillId="2" borderId="9" xfId="0" applyNumberFormat="1" applyFont="1" applyFill="1" applyBorder="1" applyAlignment="1">
      <alignment horizontal="center" vertical="top" shrinkToFit="1"/>
    </xf>
    <xf numFmtId="4" fontId="10" fillId="2" borderId="10" xfId="0" applyNumberFormat="1" applyFont="1" applyFill="1" applyBorder="1" applyAlignment="1">
      <alignment horizontal="center" vertical="top" shrinkToFit="1"/>
    </xf>
    <xf numFmtId="2" fontId="2" fillId="2" borderId="9" xfId="0" applyNumberFormat="1" applyFont="1" applyFill="1" applyBorder="1" applyAlignment="1">
      <alignment horizontal="center" vertical="top" wrapText="1"/>
    </xf>
    <xf numFmtId="2" fontId="2" fillId="2" borderId="9" xfId="0" applyNumberFormat="1" applyFont="1" applyFill="1" applyBorder="1" applyAlignment="1">
      <alignment horizontal="center" vertical="top" wrapText="1" shrinkToFit="1"/>
    </xf>
    <xf numFmtId="4" fontId="2" fillId="2" borderId="10" xfId="0" applyNumberFormat="1" applyFont="1" applyFill="1" applyBorder="1" applyAlignment="1">
      <alignment horizontal="center" vertical="top" wrapText="1" shrinkToFit="1"/>
    </xf>
    <xf numFmtId="0" fontId="5" fillId="0" borderId="0" xfId="0" applyFont="1" applyAlignment="1">
      <alignment horizontal="center" vertical="top"/>
    </xf>
    <xf numFmtId="2" fontId="2" fillId="0" borderId="9" xfId="0" applyNumberFormat="1" applyFont="1" applyBorder="1" applyAlignment="1">
      <alignment horizontal="center" vertical="top" wrapText="1" shrinkToFit="1"/>
    </xf>
    <xf numFmtId="4" fontId="2" fillId="0" borderId="10" xfId="0" applyNumberFormat="1" applyFont="1" applyBorder="1" applyAlignment="1">
      <alignment horizontal="center" vertical="top" wrapText="1" shrinkToFit="1"/>
    </xf>
    <xf numFmtId="0" fontId="5" fillId="0" borderId="0" xfId="0" applyFont="1" applyAlignment="1">
      <alignment horizontal="left" vertical="top"/>
    </xf>
    <xf numFmtId="164" fontId="13" fillId="0" borderId="17" xfId="0" applyNumberFormat="1" applyFont="1" applyBorder="1" applyAlignment="1">
      <alignment horizontal="center" vertical="top" shrinkToFit="1"/>
    </xf>
    <xf numFmtId="4" fontId="13" fillId="0" borderId="9" xfId="0" applyNumberFormat="1" applyFont="1" applyBorder="1" applyAlignment="1">
      <alignment horizontal="center" vertical="top" shrinkToFit="1"/>
    </xf>
    <xf numFmtId="2" fontId="13" fillId="0" borderId="9" xfId="0" applyNumberFormat="1" applyFont="1" applyBorder="1" applyAlignment="1">
      <alignment horizontal="center" vertical="top" shrinkToFit="1"/>
    </xf>
    <xf numFmtId="4" fontId="13" fillId="0" borderId="10" xfId="0" applyNumberFormat="1" applyFont="1" applyBorder="1" applyAlignment="1">
      <alignment horizontal="center" vertical="top" shrinkToFit="1"/>
    </xf>
    <xf numFmtId="0" fontId="17" fillId="0" borderId="17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4" fontId="17" fillId="0" borderId="9" xfId="0" applyNumberFormat="1" applyFont="1" applyBorder="1" applyAlignment="1">
      <alignment horizontal="center" vertical="top" shrinkToFit="1"/>
    </xf>
    <xf numFmtId="2" fontId="17" fillId="0" borderId="9" xfId="0" applyNumberFormat="1" applyFont="1" applyBorder="1" applyAlignment="1">
      <alignment horizontal="center" vertical="top" shrinkToFit="1"/>
    </xf>
    <xf numFmtId="4" fontId="17" fillId="0" borderId="10" xfId="0" applyNumberFormat="1" applyFont="1" applyBorder="1" applyAlignment="1">
      <alignment horizontal="center" vertical="top" shrinkToFit="1"/>
    </xf>
    <xf numFmtId="2" fontId="17" fillId="0" borderId="10" xfId="0" applyNumberFormat="1" applyFont="1" applyBorder="1" applyAlignment="1">
      <alignment horizontal="center" vertical="top" shrinkToFit="1"/>
    </xf>
    <xf numFmtId="4" fontId="2" fillId="0" borderId="9" xfId="0" applyNumberFormat="1" applyFont="1" applyBorder="1" applyAlignment="1">
      <alignment horizontal="center" vertical="top" shrinkToFit="1"/>
    </xf>
    <xf numFmtId="2" fontId="2" fillId="0" borderId="9" xfId="0" applyNumberFormat="1" applyFont="1" applyBorder="1" applyAlignment="1">
      <alignment horizontal="center" vertical="top" shrinkToFit="1"/>
    </xf>
    <xf numFmtId="4" fontId="2" fillId="0" borderId="10" xfId="0" applyNumberFormat="1" applyFont="1" applyBorder="1" applyAlignment="1">
      <alignment horizontal="center" vertical="top" shrinkToFit="1"/>
    </xf>
    <xf numFmtId="2" fontId="13" fillId="0" borderId="10" xfId="0" applyNumberFormat="1" applyFont="1" applyBorder="1" applyAlignment="1">
      <alignment horizontal="center" vertical="top" shrinkToFit="1"/>
    </xf>
    <xf numFmtId="0" fontId="13" fillId="0" borderId="17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4" fontId="13" fillId="0" borderId="4" xfId="0" applyNumberFormat="1" applyFont="1" applyBorder="1" applyAlignment="1">
      <alignment horizontal="center" vertical="top" shrinkToFit="1"/>
    </xf>
    <xf numFmtId="2" fontId="13" fillId="0" borderId="4" xfId="0" applyNumberFormat="1" applyFont="1" applyBorder="1" applyAlignment="1">
      <alignment horizontal="center" vertical="top" shrinkToFit="1"/>
    </xf>
    <xf numFmtId="2" fontId="13" fillId="0" borderId="6" xfId="0" applyNumberFormat="1" applyFont="1" applyBorder="1" applyAlignment="1">
      <alignment horizontal="center" vertical="top" shrinkToFit="1"/>
    </xf>
    <xf numFmtId="4" fontId="13" fillId="0" borderId="20" xfId="0" applyNumberFormat="1" applyFont="1" applyBorder="1" applyAlignment="1">
      <alignment horizontal="center" vertical="top" shrinkToFit="1"/>
    </xf>
    <xf numFmtId="2" fontId="2" fillId="0" borderId="10" xfId="0" applyNumberFormat="1" applyFont="1" applyBorder="1" applyAlignment="1">
      <alignment horizontal="center" vertical="top" shrinkToFit="1"/>
    </xf>
    <xf numFmtId="2" fontId="2" fillId="2" borderId="9" xfId="0" applyNumberFormat="1" applyFont="1" applyFill="1" applyBorder="1" applyAlignment="1">
      <alignment horizontal="center" vertical="top" shrinkToFit="1"/>
    </xf>
    <xf numFmtId="4" fontId="2" fillId="2" borderId="10" xfId="0" applyNumberFormat="1" applyFont="1" applyFill="1" applyBorder="1" applyAlignment="1">
      <alignment horizontal="center" vertical="top" shrinkToFit="1"/>
    </xf>
    <xf numFmtId="4" fontId="18" fillId="0" borderId="0" xfId="0" applyNumberFormat="1" applyFont="1" applyAlignment="1">
      <alignment horizontal="center" vertical="top" shrinkToFit="1"/>
    </xf>
    <xf numFmtId="4" fontId="3" fillId="0" borderId="0" xfId="0" applyNumberFormat="1" applyFont="1" applyAlignment="1">
      <alignment horizontal="center" vertical="top" shrinkToFit="1"/>
    </xf>
    <xf numFmtId="0" fontId="13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2" fillId="0" borderId="2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164" fontId="15" fillId="0" borderId="18" xfId="0" applyNumberFormat="1" applyFont="1" applyBorder="1" applyAlignment="1">
      <alignment horizontal="center" vertical="top" wrapText="1" shrinkToFit="1"/>
    </xf>
    <xf numFmtId="0" fontId="2" fillId="0" borderId="25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1" fontId="14" fillId="0" borderId="27" xfId="0" applyNumberFormat="1" applyFont="1" applyBorder="1" applyAlignment="1">
      <alignment horizontal="center" vertical="top" wrapText="1" shrinkToFit="1"/>
    </xf>
    <xf numFmtId="1" fontId="14" fillId="0" borderId="27" xfId="0" applyNumberFormat="1" applyFont="1" applyBorder="1" applyAlignment="1">
      <alignment horizontal="center" vertical="top" shrinkToFit="1"/>
    </xf>
    <xf numFmtId="0" fontId="2" fillId="0" borderId="28" xfId="0" applyFont="1" applyBorder="1" applyAlignment="1">
      <alignment horizontal="center" vertical="top" wrapText="1"/>
    </xf>
    <xf numFmtId="0" fontId="2" fillId="0" borderId="29" xfId="0" applyFont="1" applyBorder="1" applyAlignment="1">
      <alignment horizontal="center" vertical="top" wrapText="1"/>
    </xf>
    <xf numFmtId="1" fontId="14" fillId="0" borderId="30" xfId="0" applyNumberFormat="1" applyFont="1" applyBorder="1" applyAlignment="1">
      <alignment horizontal="center" vertical="top" shrinkToFit="1"/>
    </xf>
    <xf numFmtId="1" fontId="14" fillId="0" borderId="31" xfId="0" applyNumberFormat="1" applyFont="1" applyBorder="1" applyAlignment="1">
      <alignment horizontal="center" vertical="top" shrinkToFit="1"/>
    </xf>
    <xf numFmtId="1" fontId="14" fillId="0" borderId="21" xfId="0" applyNumberFormat="1" applyFont="1" applyBorder="1" applyAlignment="1">
      <alignment horizontal="center" vertical="top" shrinkToFit="1"/>
    </xf>
    <xf numFmtId="0" fontId="2" fillId="0" borderId="34" xfId="0" applyFont="1" applyBorder="1" applyAlignment="1">
      <alignment horizontal="center" vertical="top" wrapText="1"/>
    </xf>
    <xf numFmtId="1" fontId="14" fillId="0" borderId="35" xfId="0" applyNumberFormat="1" applyFont="1" applyBorder="1" applyAlignment="1">
      <alignment horizontal="center" vertical="top" shrinkToFit="1"/>
    </xf>
    <xf numFmtId="0" fontId="12" fillId="0" borderId="21" xfId="0" applyFont="1" applyBorder="1" applyAlignment="1">
      <alignment horizontal="center" wrapText="1"/>
    </xf>
    <xf numFmtId="164" fontId="15" fillId="0" borderId="18" xfId="0" applyNumberFormat="1" applyFont="1" applyBorder="1" applyAlignment="1">
      <alignment horizontal="center" vertical="top" shrinkToFit="1"/>
    </xf>
    <xf numFmtId="4" fontId="15" fillId="0" borderId="19" xfId="0" applyNumberFormat="1" applyFont="1" applyBorder="1" applyAlignment="1">
      <alignment horizontal="center" vertical="top" shrinkToFit="1"/>
    </xf>
    <xf numFmtId="164" fontId="15" fillId="0" borderId="38" xfId="0" applyNumberFormat="1" applyFont="1" applyBorder="1" applyAlignment="1">
      <alignment horizontal="center" vertical="top" shrinkToFit="1"/>
    </xf>
    <xf numFmtId="0" fontId="15" fillId="0" borderId="39" xfId="0" applyFont="1" applyBorder="1" applyAlignment="1">
      <alignment horizontal="center" vertical="top" wrapText="1"/>
    </xf>
    <xf numFmtId="164" fontId="15" fillId="0" borderId="21" xfId="0" applyNumberFormat="1" applyFont="1" applyBorder="1" applyAlignment="1">
      <alignment horizontal="center" vertical="top" shrinkToFit="1"/>
    </xf>
    <xf numFmtId="0" fontId="15" fillId="0" borderId="21" xfId="0" applyFont="1" applyBorder="1" applyAlignment="1">
      <alignment horizontal="center" vertical="top" wrapText="1"/>
    </xf>
    <xf numFmtId="0" fontId="19" fillId="0" borderId="0" xfId="0" applyFont="1" applyAlignment="1">
      <alignment horizontal="center" vertical="top"/>
    </xf>
    <xf numFmtId="4" fontId="10" fillId="0" borderId="9" xfId="0" applyNumberFormat="1" applyFont="1" applyBorder="1" applyAlignment="1">
      <alignment horizontal="center" vertical="top" wrapText="1"/>
    </xf>
    <xf numFmtId="0" fontId="18" fillId="0" borderId="0" xfId="0" applyFont="1" applyAlignment="1">
      <alignment horizontal="center" vertical="top"/>
    </xf>
    <xf numFmtId="4" fontId="2" fillId="0" borderId="9" xfId="0" applyNumberFormat="1" applyFont="1" applyBorder="1" applyAlignment="1">
      <alignment horizontal="center" vertical="top" wrapText="1"/>
    </xf>
    <xf numFmtId="164" fontId="13" fillId="0" borderId="18" xfId="0" applyNumberFormat="1" applyFont="1" applyBorder="1" applyAlignment="1">
      <alignment horizontal="center" vertical="top" shrinkToFit="1"/>
    </xf>
    <xf numFmtId="4" fontId="0" fillId="0" borderId="0" xfId="0" applyNumberFormat="1" applyAlignment="1">
      <alignment horizontal="left" vertical="top"/>
    </xf>
    <xf numFmtId="2" fontId="20" fillId="0" borderId="0" xfId="0" applyNumberFormat="1" applyFont="1" applyAlignment="1">
      <alignment horizontal="left" vertical="top"/>
    </xf>
    <xf numFmtId="2" fontId="9" fillId="0" borderId="0" xfId="0" applyNumberFormat="1" applyFont="1" applyAlignment="1">
      <alignment horizontal="center" vertical="top"/>
    </xf>
    <xf numFmtId="0" fontId="21" fillId="0" borderId="0" xfId="0" applyFont="1" applyAlignment="1">
      <alignment horizontal="center" vertical="top"/>
    </xf>
    <xf numFmtId="2" fontId="21" fillId="0" borderId="0" xfId="0" applyNumberFormat="1" applyFont="1" applyAlignment="1">
      <alignment horizontal="center" vertical="top"/>
    </xf>
    <xf numFmtId="2" fontId="12" fillId="0" borderId="0" xfId="0" applyNumberFormat="1" applyFont="1" applyAlignment="1">
      <alignment horizontal="center" vertical="top" wrapText="1"/>
    </xf>
    <xf numFmtId="2" fontId="14" fillId="0" borderId="27" xfId="0" applyNumberFormat="1" applyFont="1" applyBorder="1" applyAlignment="1">
      <alignment horizontal="center" vertical="top" wrapText="1" shrinkToFit="1"/>
    </xf>
    <xf numFmtId="2" fontId="12" fillId="0" borderId="0" xfId="0" applyNumberFormat="1" applyFont="1" applyAlignment="1">
      <alignment horizontal="center" wrapText="1"/>
    </xf>
    <xf numFmtId="2" fontId="0" fillId="0" borderId="0" xfId="0" applyNumberFormat="1" applyAlignment="1">
      <alignment horizontal="left" vertical="top"/>
    </xf>
    <xf numFmtId="0" fontId="2" fillId="0" borderId="0" xfId="0" applyFont="1" applyAlignment="1">
      <alignment horizontal="center" wrapText="1"/>
    </xf>
    <xf numFmtId="0" fontId="15" fillId="2" borderId="14" xfId="0" applyFont="1" applyFill="1" applyBorder="1" applyAlignment="1">
      <alignment horizontal="center" vertical="top" wrapText="1"/>
    </xf>
    <xf numFmtId="0" fontId="15" fillId="2" borderId="15" xfId="0" applyFont="1" applyFill="1" applyBorder="1" applyAlignment="1">
      <alignment horizontal="center" vertical="top" wrapText="1"/>
    </xf>
    <xf numFmtId="0" fontId="15" fillId="2" borderId="16" xfId="0" applyFont="1" applyFill="1" applyBorder="1" applyAlignment="1">
      <alignment horizontal="center" vertical="top" wrapText="1"/>
    </xf>
    <xf numFmtId="0" fontId="10" fillId="0" borderId="18" xfId="0" applyFont="1" applyBorder="1" applyAlignment="1">
      <alignment horizontal="center" vertical="top" wrapText="1"/>
    </xf>
    <xf numFmtId="0" fontId="10" fillId="0" borderId="19" xfId="0" applyFont="1" applyBorder="1" applyAlignment="1">
      <alignment horizontal="center" vertical="top" wrapText="1"/>
    </xf>
    <xf numFmtId="0" fontId="2" fillId="2" borderId="18" xfId="0" applyFont="1" applyFill="1" applyBorder="1" applyAlignment="1">
      <alignment horizontal="center" vertical="top" wrapText="1"/>
    </xf>
    <xf numFmtId="0" fontId="2" fillId="2" borderId="19" xfId="0" applyFont="1" applyFill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12" fillId="2" borderId="14" xfId="0" applyFont="1" applyFill="1" applyBorder="1" applyAlignment="1">
      <alignment horizontal="center" vertical="top" wrapText="1"/>
    </xf>
    <xf numFmtId="0" fontId="12" fillId="2" borderId="15" xfId="0" applyFont="1" applyFill="1" applyBorder="1" applyAlignment="1">
      <alignment horizontal="center" vertical="top" wrapText="1"/>
    </xf>
    <xf numFmtId="0" fontId="12" fillId="2" borderId="16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top" wrapText="1"/>
    </xf>
    <xf numFmtId="0" fontId="10" fillId="2" borderId="18" xfId="0" applyFont="1" applyFill="1" applyBorder="1" applyAlignment="1">
      <alignment horizontal="center" vertical="top" wrapText="1"/>
    </xf>
    <xf numFmtId="0" fontId="10" fillId="2" borderId="19" xfId="0" applyFont="1" applyFill="1" applyBorder="1" applyAlignment="1">
      <alignment horizontal="center" vertical="top" wrapText="1"/>
    </xf>
    <xf numFmtId="0" fontId="10" fillId="0" borderId="40" xfId="0" applyFont="1" applyBorder="1" applyAlignment="1">
      <alignment horizontal="center" vertical="top" wrapText="1"/>
    </xf>
    <xf numFmtId="0" fontId="10" fillId="0" borderId="26" xfId="0" applyFont="1" applyBorder="1" applyAlignment="1">
      <alignment horizontal="center" vertical="top" wrapText="1"/>
    </xf>
    <xf numFmtId="0" fontId="12" fillId="2" borderId="18" xfId="0" applyFont="1" applyFill="1" applyBorder="1" applyAlignment="1">
      <alignment horizontal="center" vertical="top" wrapText="1"/>
    </xf>
    <xf numFmtId="0" fontId="12" fillId="2" borderId="41" xfId="0" applyFont="1" applyFill="1" applyBorder="1" applyAlignment="1">
      <alignment horizontal="center" vertical="top" wrapText="1"/>
    </xf>
    <xf numFmtId="0" fontId="12" fillId="2" borderId="42" xfId="0" applyFont="1" applyFill="1" applyBorder="1" applyAlignment="1">
      <alignment horizontal="center" vertical="top" wrapText="1"/>
    </xf>
    <xf numFmtId="0" fontId="13" fillId="2" borderId="14" xfId="0" applyFont="1" applyFill="1" applyBorder="1" applyAlignment="1">
      <alignment horizontal="center" vertical="top" wrapText="1"/>
    </xf>
    <xf numFmtId="0" fontId="13" fillId="2" borderId="15" xfId="0" applyFont="1" applyFill="1" applyBorder="1" applyAlignment="1">
      <alignment horizontal="center" vertical="top" wrapText="1"/>
    </xf>
    <xf numFmtId="0" fontId="13" fillId="2" borderId="16" xfId="0" applyFont="1" applyFill="1" applyBorder="1" applyAlignment="1">
      <alignment horizontal="center" vertical="top" wrapText="1"/>
    </xf>
    <xf numFmtId="0" fontId="14" fillId="2" borderId="14" xfId="0" applyFont="1" applyFill="1" applyBorder="1" applyAlignment="1">
      <alignment horizontal="center" vertical="top" wrapText="1"/>
    </xf>
    <xf numFmtId="0" fontId="14" fillId="2" borderId="15" xfId="0" applyFont="1" applyFill="1" applyBorder="1" applyAlignment="1">
      <alignment horizontal="center" vertical="top" wrapText="1"/>
    </xf>
    <xf numFmtId="0" fontId="14" fillId="2" borderId="16" xfId="0" applyFont="1" applyFill="1" applyBorder="1" applyAlignment="1">
      <alignment horizontal="center" vertical="top" wrapText="1"/>
    </xf>
    <xf numFmtId="0" fontId="2" fillId="0" borderId="32" xfId="0" applyFont="1" applyBorder="1" applyAlignment="1">
      <alignment horizontal="center" vertical="top" wrapText="1"/>
    </xf>
    <xf numFmtId="0" fontId="2" fillId="0" borderId="33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0" fontId="2" fillId="0" borderId="36" xfId="0" applyFont="1" applyBorder="1" applyAlignment="1">
      <alignment horizontal="center" vertical="top" wrapText="1"/>
    </xf>
    <xf numFmtId="0" fontId="12" fillId="2" borderId="37" xfId="0" applyFont="1" applyFill="1" applyBorder="1" applyAlignment="1">
      <alignment horizontal="center" vertical="top" wrapText="1"/>
    </xf>
    <xf numFmtId="0" fontId="13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2" fillId="0" borderId="0" xfId="0" applyFont="1" applyAlignment="1">
      <alignment wrapText="1"/>
    </xf>
    <xf numFmtId="2" fontId="2" fillId="0" borderId="29" xfId="0" applyNumberFormat="1" applyFont="1" applyBorder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C2E72-1D43-4D62-96D9-E0F2A165ABC2}">
  <sheetPr>
    <tabColor rgb="FF92D050"/>
  </sheetPr>
  <dimension ref="A3:N91"/>
  <sheetViews>
    <sheetView zoomScaleNormal="100" workbookViewId="0">
      <selection activeCell="B89" sqref="B89:I90"/>
    </sheetView>
  </sheetViews>
  <sheetFormatPr defaultColWidth="9.33203125" defaultRowHeight="12.75" x14ac:dyDescent="0.2"/>
  <cols>
    <col min="1" max="1" width="9.33203125" style="2"/>
    <col min="2" max="2" width="52.83203125" style="2" customWidth="1"/>
    <col min="3" max="3" width="19.83203125" style="2" customWidth="1"/>
    <col min="4" max="4" width="17.5" style="2" hidden="1" customWidth="1"/>
    <col min="5" max="5" width="18.83203125" style="2" customWidth="1"/>
    <col min="6" max="6" width="20.83203125" style="2" hidden="1" customWidth="1"/>
    <col min="7" max="7" width="17.33203125" style="2" hidden="1" customWidth="1"/>
    <col min="8" max="9" width="16.5" style="2" customWidth="1"/>
    <col min="10" max="10" width="22.6640625" style="2" customWidth="1"/>
    <col min="11" max="11" width="20" style="2" hidden="1" customWidth="1"/>
    <col min="12" max="13" width="9.33203125" style="2"/>
    <col min="14" max="14" width="53.6640625" style="2" customWidth="1"/>
    <col min="15" max="17" width="9.33203125" style="2"/>
    <col min="18" max="18" width="8.5" style="2" customWidth="1"/>
    <col min="19" max="16384" width="9.33203125" style="2"/>
  </cols>
  <sheetData>
    <row r="3" spans="1:11" ht="15.75" x14ac:dyDescent="0.2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ht="15.7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ht="84" customHeight="1" x14ac:dyDescent="0.2">
      <c r="A5" s="203" t="s">
        <v>133</v>
      </c>
      <c r="B5" s="204"/>
      <c r="C5" s="204"/>
      <c r="D5" s="204"/>
      <c r="E5" s="204"/>
      <c r="F5" s="204"/>
      <c r="G5" s="204"/>
      <c r="H5" s="204"/>
      <c r="I5" s="204"/>
      <c r="J5" s="204"/>
      <c r="K5" s="204"/>
    </row>
    <row r="6" spans="1:11" ht="45" customHeight="1" x14ac:dyDescent="0.2">
      <c r="A6" s="177" t="s">
        <v>0</v>
      </c>
      <c r="B6" s="179" t="s">
        <v>1</v>
      </c>
      <c r="C6" s="181" t="s">
        <v>2</v>
      </c>
      <c r="D6" s="182"/>
      <c r="E6" s="181" t="s">
        <v>3</v>
      </c>
      <c r="F6" s="182"/>
      <c r="G6" s="129" t="s">
        <v>100</v>
      </c>
      <c r="H6" s="183" t="s">
        <v>4</v>
      </c>
      <c r="I6" s="183"/>
      <c r="J6" s="183" t="s">
        <v>5</v>
      </c>
      <c r="K6" s="183"/>
    </row>
    <row r="7" spans="1:11" ht="18.75" customHeight="1" x14ac:dyDescent="0.2">
      <c r="A7" s="178"/>
      <c r="B7" s="180"/>
      <c r="C7" s="44" t="s">
        <v>6</v>
      </c>
      <c r="D7" s="44" t="s">
        <v>7</v>
      </c>
      <c r="E7" s="44" t="s">
        <v>6</v>
      </c>
      <c r="F7" s="44" t="s">
        <v>7</v>
      </c>
      <c r="G7" s="44" t="s">
        <v>6</v>
      </c>
      <c r="H7" s="135" t="s">
        <v>122</v>
      </c>
      <c r="I7" s="136" t="s">
        <v>112</v>
      </c>
      <c r="J7" s="132" t="s">
        <v>6</v>
      </c>
      <c r="K7" s="84" t="s">
        <v>7</v>
      </c>
    </row>
    <row r="8" spans="1:11" ht="15.75" x14ac:dyDescent="0.2">
      <c r="A8" s="56">
        <v>1</v>
      </c>
      <c r="B8" s="57">
        <v>2</v>
      </c>
      <c r="C8" s="57">
        <v>3</v>
      </c>
      <c r="D8" s="57">
        <v>4</v>
      </c>
      <c r="E8" s="57">
        <v>4</v>
      </c>
      <c r="F8" s="57">
        <v>6</v>
      </c>
      <c r="G8" s="57">
        <v>5</v>
      </c>
      <c r="H8" s="57">
        <v>5</v>
      </c>
      <c r="I8" s="133">
        <v>6</v>
      </c>
      <c r="J8" s="57">
        <v>7</v>
      </c>
      <c r="K8" s="58">
        <v>9</v>
      </c>
    </row>
    <row r="9" spans="1:11" ht="15.75" x14ac:dyDescent="0.25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</row>
    <row r="10" spans="1:11" ht="12.75" customHeight="1" x14ac:dyDescent="0.2">
      <c r="A10" s="174" t="s">
        <v>107</v>
      </c>
      <c r="B10" s="175"/>
      <c r="C10" s="175"/>
      <c r="D10" s="175"/>
      <c r="E10" s="175"/>
      <c r="F10" s="175"/>
      <c r="G10" s="175"/>
      <c r="H10" s="175"/>
      <c r="I10" s="175"/>
      <c r="J10" s="175"/>
      <c r="K10" s="176"/>
    </row>
    <row r="11" spans="1:11" ht="15.75" x14ac:dyDescent="0.2">
      <c r="A11" s="59">
        <v>1.1000000000000001</v>
      </c>
      <c r="B11" s="50" t="s">
        <v>8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  <c r="H11" s="60">
        <v>0</v>
      </c>
      <c r="I11" s="60">
        <v>0</v>
      </c>
      <c r="J11" s="60">
        <v>0</v>
      </c>
      <c r="K11" s="61">
        <v>0</v>
      </c>
    </row>
    <row r="12" spans="1:11" ht="15.75" x14ac:dyDescent="0.2">
      <c r="A12" s="59">
        <v>1.2</v>
      </c>
      <c r="B12" s="50" t="s">
        <v>9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  <c r="H12" s="60">
        <v>0</v>
      </c>
      <c r="I12" s="60">
        <v>0</v>
      </c>
      <c r="J12" s="60">
        <v>0</v>
      </c>
      <c r="K12" s="61">
        <v>0</v>
      </c>
    </row>
    <row r="13" spans="1:11" ht="31.5" x14ac:dyDescent="0.2">
      <c r="A13" s="59">
        <v>1.3</v>
      </c>
      <c r="B13" s="50" t="s">
        <v>10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  <c r="H13" s="60">
        <v>0</v>
      </c>
      <c r="I13" s="60">
        <v>0</v>
      </c>
      <c r="J13" s="60">
        <v>0</v>
      </c>
      <c r="K13" s="61">
        <v>0</v>
      </c>
    </row>
    <row r="14" spans="1:11" ht="18" customHeight="1" x14ac:dyDescent="0.2">
      <c r="A14" s="59">
        <v>1.4</v>
      </c>
      <c r="B14" s="50" t="s">
        <v>11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0">
        <v>0</v>
      </c>
      <c r="I14" s="60">
        <v>0</v>
      </c>
      <c r="J14" s="60">
        <v>0</v>
      </c>
      <c r="K14" s="61">
        <v>0</v>
      </c>
    </row>
    <row r="15" spans="1:11" ht="15.75" x14ac:dyDescent="0.2">
      <c r="A15" s="171" t="s">
        <v>12</v>
      </c>
      <c r="B15" s="172"/>
      <c r="C15" s="62">
        <v>0</v>
      </c>
      <c r="D15" s="62">
        <v>0</v>
      </c>
      <c r="E15" s="62">
        <v>0</v>
      </c>
      <c r="F15" s="62">
        <v>0</v>
      </c>
      <c r="G15" s="62">
        <v>0</v>
      </c>
      <c r="H15" s="62">
        <v>0</v>
      </c>
      <c r="I15" s="62">
        <v>0</v>
      </c>
      <c r="J15" s="62">
        <v>0</v>
      </c>
      <c r="K15" s="63">
        <v>0</v>
      </c>
    </row>
    <row r="16" spans="1:11" ht="15.75" x14ac:dyDescent="0.25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</row>
    <row r="17" spans="1:11" ht="12.75" customHeight="1" x14ac:dyDescent="0.2">
      <c r="A17" s="174" t="s">
        <v>102</v>
      </c>
      <c r="B17" s="175"/>
      <c r="C17" s="175"/>
      <c r="D17" s="175"/>
      <c r="E17" s="175"/>
      <c r="F17" s="175"/>
      <c r="G17" s="175"/>
      <c r="H17" s="175"/>
      <c r="I17" s="175"/>
      <c r="J17" s="175"/>
      <c r="K17" s="176"/>
    </row>
    <row r="18" spans="1:11" ht="15.75" x14ac:dyDescent="0.2">
      <c r="A18" s="171" t="s">
        <v>13</v>
      </c>
      <c r="B18" s="172"/>
      <c r="C18" s="62">
        <v>0</v>
      </c>
      <c r="D18" s="62">
        <v>0</v>
      </c>
      <c r="E18" s="62">
        <v>0</v>
      </c>
      <c r="F18" s="62">
        <v>0</v>
      </c>
      <c r="G18" s="62">
        <v>0</v>
      </c>
      <c r="H18" s="62">
        <v>0</v>
      </c>
      <c r="I18" s="62">
        <v>0</v>
      </c>
      <c r="J18" s="62">
        <v>0</v>
      </c>
      <c r="K18" s="63">
        <v>0</v>
      </c>
    </row>
    <row r="19" spans="1:11" ht="12.75" customHeight="1" x14ac:dyDescent="0.2">
      <c r="A19" s="164" t="s">
        <v>132</v>
      </c>
      <c r="B19" s="165"/>
      <c r="C19" s="165"/>
      <c r="D19" s="165"/>
      <c r="E19" s="165"/>
      <c r="F19" s="165"/>
      <c r="G19" s="165"/>
      <c r="H19" s="165"/>
      <c r="I19" s="165"/>
      <c r="J19" s="165"/>
      <c r="K19" s="166"/>
    </row>
    <row r="20" spans="1:11" s="157" customFormat="1" ht="15.75" x14ac:dyDescent="0.2">
      <c r="A20" s="64">
        <v>3.1</v>
      </c>
      <c r="B20" s="16" t="s">
        <v>14</v>
      </c>
      <c r="C20" s="53">
        <v>1666.67</v>
      </c>
      <c r="D20" s="53"/>
      <c r="E20" s="53">
        <v>0</v>
      </c>
      <c r="F20" s="53">
        <v>0</v>
      </c>
      <c r="G20" s="53">
        <v>1666.67</v>
      </c>
      <c r="H20" s="53">
        <f t="shared" ref="H20:H25" si="0">C20*0.19</f>
        <v>316.66730000000001</v>
      </c>
      <c r="I20" s="53">
        <v>0</v>
      </c>
      <c r="J20" s="53">
        <f t="shared" ref="J20:J25" si="1">C20+E20+H20</f>
        <v>1983.3373000000001</v>
      </c>
      <c r="K20" s="54"/>
    </row>
    <row r="21" spans="1:11" s="157" customFormat="1" ht="14.25" customHeight="1" x14ac:dyDescent="0.2">
      <c r="A21" s="19" t="s">
        <v>15</v>
      </c>
      <c r="B21" s="16" t="s">
        <v>16</v>
      </c>
      <c r="C21" s="53">
        <v>1666.67</v>
      </c>
      <c r="D21" s="53"/>
      <c r="E21" s="53">
        <v>0</v>
      </c>
      <c r="F21" s="53">
        <v>0</v>
      </c>
      <c r="G21" s="53">
        <v>1666.67</v>
      </c>
      <c r="H21" s="53">
        <f t="shared" si="0"/>
        <v>316.66730000000001</v>
      </c>
      <c r="I21" s="53">
        <v>0</v>
      </c>
      <c r="J21" s="53">
        <f t="shared" si="1"/>
        <v>1983.3373000000001</v>
      </c>
      <c r="K21" s="54"/>
    </row>
    <row r="22" spans="1:11" ht="18" customHeight="1" x14ac:dyDescent="0.2">
      <c r="A22" s="19" t="s">
        <v>17</v>
      </c>
      <c r="B22" s="16" t="s">
        <v>18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f t="shared" si="0"/>
        <v>0</v>
      </c>
      <c r="I22" s="53">
        <v>0</v>
      </c>
      <c r="J22" s="53">
        <f t="shared" si="1"/>
        <v>0</v>
      </c>
      <c r="K22" s="54">
        <v>0</v>
      </c>
    </row>
    <row r="23" spans="1:11" ht="15.75" x14ac:dyDescent="0.2">
      <c r="A23" s="19" t="s">
        <v>19</v>
      </c>
      <c r="B23" s="16" t="s">
        <v>20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f t="shared" si="0"/>
        <v>0</v>
      </c>
      <c r="I23" s="53">
        <v>0</v>
      </c>
      <c r="J23" s="53">
        <f t="shared" si="1"/>
        <v>0</v>
      </c>
      <c r="K23" s="54">
        <v>0</v>
      </c>
    </row>
    <row r="24" spans="1:11" s="157" customFormat="1" ht="36" customHeight="1" x14ac:dyDescent="0.2">
      <c r="A24" s="65">
        <v>3.2</v>
      </c>
      <c r="B24" s="21" t="s">
        <v>21</v>
      </c>
      <c r="C24" s="66">
        <v>166.66666666666666</v>
      </c>
      <c r="D24" s="66"/>
      <c r="E24" s="66">
        <v>0</v>
      </c>
      <c r="F24" s="66">
        <v>0</v>
      </c>
      <c r="G24" s="67">
        <v>166.67</v>
      </c>
      <c r="H24" s="53">
        <f t="shared" si="0"/>
        <v>31.666666666666664</v>
      </c>
      <c r="I24" s="53">
        <v>0</v>
      </c>
      <c r="J24" s="53">
        <f t="shared" si="1"/>
        <v>198.33333333333331</v>
      </c>
      <c r="K24" s="68"/>
    </row>
    <row r="25" spans="1:11" s="157" customFormat="1" ht="15.75" x14ac:dyDescent="0.2">
      <c r="A25" s="64">
        <v>3.3</v>
      </c>
      <c r="B25" s="16" t="s">
        <v>22</v>
      </c>
      <c r="C25" s="53">
        <v>1250</v>
      </c>
      <c r="D25" s="53"/>
      <c r="E25" s="53">
        <v>0</v>
      </c>
      <c r="F25" s="53">
        <v>0</v>
      </c>
      <c r="G25" s="53">
        <v>1250</v>
      </c>
      <c r="H25" s="53">
        <f t="shared" si="0"/>
        <v>237.5</v>
      </c>
      <c r="I25" s="53">
        <v>0</v>
      </c>
      <c r="J25" s="53">
        <f t="shared" si="1"/>
        <v>1487.5</v>
      </c>
      <c r="K25" s="54"/>
    </row>
    <row r="26" spans="1:11" s="157" customFormat="1" ht="31.5" x14ac:dyDescent="0.2">
      <c r="A26" s="64">
        <v>3.4</v>
      </c>
      <c r="B26" s="16" t="s">
        <v>23</v>
      </c>
      <c r="C26" s="53">
        <f>C27+C28</f>
        <v>4666.67</v>
      </c>
      <c r="D26" s="53"/>
      <c r="E26" s="53">
        <v>0</v>
      </c>
      <c r="F26" s="53">
        <v>0</v>
      </c>
      <c r="G26" s="53">
        <v>2000</v>
      </c>
      <c r="H26" s="53">
        <f>H27+I28</f>
        <v>966.66729999999995</v>
      </c>
      <c r="I26" s="53"/>
      <c r="J26" s="53">
        <f>J27+J28</f>
        <v>5633.3373000000001</v>
      </c>
      <c r="K26" s="54"/>
    </row>
    <row r="27" spans="1:11" s="157" customFormat="1" ht="31.5" x14ac:dyDescent="0.2">
      <c r="A27" s="64" t="s">
        <v>113</v>
      </c>
      <c r="B27" s="16" t="s">
        <v>119</v>
      </c>
      <c r="C27" s="53">
        <v>666.67</v>
      </c>
      <c r="D27" s="53"/>
      <c r="E27" s="53">
        <v>0</v>
      </c>
      <c r="F27" s="53"/>
      <c r="G27" s="53"/>
      <c r="H27" s="53">
        <f>C27*0.19</f>
        <v>126.6673</v>
      </c>
      <c r="I27" s="53">
        <v>0</v>
      </c>
      <c r="J27" s="53">
        <f>C27+E27+H27</f>
        <v>793.33729999999991</v>
      </c>
      <c r="K27" s="54"/>
    </row>
    <row r="28" spans="1:11" s="157" customFormat="1" ht="31.5" x14ac:dyDescent="0.2">
      <c r="A28" s="64" t="s">
        <v>114</v>
      </c>
      <c r="B28" s="16" t="s">
        <v>120</v>
      </c>
      <c r="C28" s="53">
        <v>4000</v>
      </c>
      <c r="D28" s="53"/>
      <c r="E28" s="53">
        <v>0</v>
      </c>
      <c r="F28" s="53"/>
      <c r="G28" s="53"/>
      <c r="H28" s="53">
        <v>0</v>
      </c>
      <c r="I28" s="53">
        <f>C28*0.21</f>
        <v>840</v>
      </c>
      <c r="J28" s="53">
        <f>+C28+E28+H28+I28</f>
        <v>4840</v>
      </c>
      <c r="K28" s="54"/>
    </row>
    <row r="29" spans="1:11" s="157" customFormat="1" ht="15.75" x14ac:dyDescent="0.2">
      <c r="A29" s="64">
        <v>3.5</v>
      </c>
      <c r="B29" s="16" t="s">
        <v>24</v>
      </c>
      <c r="C29" s="53">
        <f>C30+C31+C32+C33+C34+C35</f>
        <v>48331.67</v>
      </c>
      <c r="D29" s="53"/>
      <c r="E29" s="53">
        <v>0</v>
      </c>
      <c r="F29" s="53">
        <v>0</v>
      </c>
      <c r="G29" s="53">
        <v>48164.17</v>
      </c>
      <c r="H29" s="53">
        <f t="shared" ref="H29:H35" si="2">C29*0.19</f>
        <v>9183.0172999999995</v>
      </c>
      <c r="I29" s="53">
        <v>0</v>
      </c>
      <c r="J29" s="53">
        <f t="shared" ref="J29:J36" si="3">C29+E29+H29</f>
        <v>57514.687299999998</v>
      </c>
      <c r="K29" s="54"/>
    </row>
    <row r="30" spans="1:11" s="7" customFormat="1" ht="15.75" x14ac:dyDescent="0.2">
      <c r="A30" s="19" t="s">
        <v>25</v>
      </c>
      <c r="B30" s="16" t="s">
        <v>26</v>
      </c>
      <c r="C30" s="53">
        <v>0</v>
      </c>
      <c r="D30" s="53"/>
      <c r="E30" s="53">
        <v>0</v>
      </c>
      <c r="F30" s="53">
        <v>0</v>
      </c>
      <c r="G30" s="53">
        <v>0</v>
      </c>
      <c r="H30" s="53">
        <f t="shared" si="2"/>
        <v>0</v>
      </c>
      <c r="I30" s="53">
        <v>0</v>
      </c>
      <c r="J30" s="53">
        <f t="shared" si="3"/>
        <v>0</v>
      </c>
      <c r="K30" s="54"/>
    </row>
    <row r="31" spans="1:11" s="7" customFormat="1" ht="15.75" x14ac:dyDescent="0.2">
      <c r="A31" s="19" t="s">
        <v>27</v>
      </c>
      <c r="B31" s="16" t="s">
        <v>28</v>
      </c>
      <c r="C31" s="53">
        <v>0</v>
      </c>
      <c r="D31" s="53"/>
      <c r="E31" s="53">
        <v>0</v>
      </c>
      <c r="F31" s="53">
        <v>0</v>
      </c>
      <c r="G31" s="53">
        <v>0</v>
      </c>
      <c r="H31" s="53">
        <f t="shared" si="2"/>
        <v>0</v>
      </c>
      <c r="I31" s="53">
        <v>0</v>
      </c>
      <c r="J31" s="53">
        <f t="shared" si="3"/>
        <v>0</v>
      </c>
      <c r="K31" s="54"/>
    </row>
    <row r="32" spans="1:11" s="157" customFormat="1" ht="31.5" x14ac:dyDescent="0.2">
      <c r="A32" s="19" t="s">
        <v>29</v>
      </c>
      <c r="B32" s="16" t="s">
        <v>30</v>
      </c>
      <c r="C32" s="53">
        <v>5000</v>
      </c>
      <c r="D32" s="53"/>
      <c r="E32" s="53">
        <v>0</v>
      </c>
      <c r="F32" s="53">
        <v>0</v>
      </c>
      <c r="G32" s="53">
        <v>5000</v>
      </c>
      <c r="H32" s="53">
        <f t="shared" si="2"/>
        <v>950</v>
      </c>
      <c r="I32" s="53">
        <v>0</v>
      </c>
      <c r="J32" s="53">
        <f t="shared" si="3"/>
        <v>5950</v>
      </c>
      <c r="K32" s="54"/>
    </row>
    <row r="33" spans="1:14" s="157" customFormat="1" ht="31.5" x14ac:dyDescent="0.2">
      <c r="A33" s="19" t="s">
        <v>31</v>
      </c>
      <c r="B33" s="16" t="s">
        <v>32</v>
      </c>
      <c r="C33" s="53">
        <v>166.67</v>
      </c>
      <c r="D33" s="53"/>
      <c r="E33" s="53">
        <v>0</v>
      </c>
      <c r="F33" s="53"/>
      <c r="G33" s="53">
        <v>1500</v>
      </c>
      <c r="H33" s="53">
        <f t="shared" si="2"/>
        <v>31.667299999999997</v>
      </c>
      <c r="I33" s="53">
        <v>0</v>
      </c>
      <c r="J33" s="53">
        <f t="shared" si="3"/>
        <v>198.33729999999997</v>
      </c>
      <c r="K33" s="54"/>
    </row>
    <row r="34" spans="1:14" s="157" customFormat="1" ht="31.5" x14ac:dyDescent="0.2">
      <c r="A34" s="19" t="s">
        <v>33</v>
      </c>
      <c r="B34" s="16" t="s">
        <v>34</v>
      </c>
      <c r="C34" s="53">
        <v>5500.83</v>
      </c>
      <c r="D34" s="53"/>
      <c r="E34" s="53">
        <v>0</v>
      </c>
      <c r="F34" s="53"/>
      <c r="G34" s="53">
        <v>5500</v>
      </c>
      <c r="H34" s="53">
        <f t="shared" si="2"/>
        <v>1045.1577</v>
      </c>
      <c r="I34" s="53">
        <v>0</v>
      </c>
      <c r="J34" s="53">
        <f t="shared" si="3"/>
        <v>6545.9876999999997</v>
      </c>
      <c r="K34" s="54"/>
    </row>
    <row r="35" spans="1:14" s="157" customFormat="1" ht="15.75" x14ac:dyDescent="0.2">
      <c r="A35" s="19" t="s">
        <v>35</v>
      </c>
      <c r="B35" s="16" t="s">
        <v>36</v>
      </c>
      <c r="C35" s="53">
        <v>37664.17</v>
      </c>
      <c r="D35" s="53"/>
      <c r="E35" s="53">
        <v>0</v>
      </c>
      <c r="F35" s="53"/>
      <c r="G35" s="53">
        <v>36164.17</v>
      </c>
      <c r="H35" s="53">
        <f t="shared" si="2"/>
        <v>7156.1922999999997</v>
      </c>
      <c r="I35" s="53">
        <v>0</v>
      </c>
      <c r="J35" s="53">
        <f t="shared" si="3"/>
        <v>44820.362300000001</v>
      </c>
      <c r="K35" s="54"/>
    </row>
    <row r="36" spans="1:14" s="7" customFormat="1" ht="15.75" x14ac:dyDescent="0.2">
      <c r="A36" s="64">
        <v>3.6</v>
      </c>
      <c r="B36" s="16" t="s">
        <v>37</v>
      </c>
      <c r="C36" s="53">
        <v>0</v>
      </c>
      <c r="D36" s="53"/>
      <c r="E36" s="53">
        <v>5833.33</v>
      </c>
      <c r="F36" s="53"/>
      <c r="G36" s="53">
        <v>6000</v>
      </c>
      <c r="H36" s="53">
        <f>E36*0.19</f>
        <v>1108.3326999999999</v>
      </c>
      <c r="I36" s="53">
        <v>0</v>
      </c>
      <c r="J36" s="53">
        <f t="shared" si="3"/>
        <v>6941.6626999999999</v>
      </c>
      <c r="K36" s="54"/>
    </row>
    <row r="37" spans="1:14" s="7" customFormat="1" ht="15.75" x14ac:dyDescent="0.2">
      <c r="A37" s="64">
        <v>3.7</v>
      </c>
      <c r="B37" s="16" t="s">
        <v>38</v>
      </c>
      <c r="C37" s="53">
        <v>0</v>
      </c>
      <c r="D37" s="53"/>
      <c r="E37" s="53">
        <v>5000</v>
      </c>
      <c r="F37" s="53"/>
      <c r="G37" s="53">
        <v>5000</v>
      </c>
      <c r="H37" s="53">
        <v>0</v>
      </c>
      <c r="I37" s="53">
        <f>E37*0.21</f>
        <v>1050</v>
      </c>
      <c r="J37" s="53">
        <f>C37+E37+H37+I37</f>
        <v>6050</v>
      </c>
      <c r="K37" s="54"/>
    </row>
    <row r="38" spans="1:14" s="7" customFormat="1" ht="31.5" x14ac:dyDescent="0.2">
      <c r="A38" s="19" t="s">
        <v>39</v>
      </c>
      <c r="B38" s="16" t="s">
        <v>40</v>
      </c>
      <c r="C38" s="53">
        <v>0</v>
      </c>
      <c r="D38" s="53"/>
      <c r="E38" s="53">
        <v>4000</v>
      </c>
      <c r="F38" s="53"/>
      <c r="G38" s="53">
        <v>4000</v>
      </c>
      <c r="H38" s="53">
        <v>0</v>
      </c>
      <c r="I38" s="53">
        <f>E38*0.21</f>
        <v>840</v>
      </c>
      <c r="J38" s="53">
        <f>C38+E38+H38+I38</f>
        <v>4840</v>
      </c>
      <c r="K38" s="54"/>
      <c r="N38" s="156"/>
    </row>
    <row r="39" spans="1:14" s="7" customFormat="1" ht="14.25" customHeight="1" x14ac:dyDescent="0.2">
      <c r="A39" s="19" t="s">
        <v>41</v>
      </c>
      <c r="B39" s="16" t="s">
        <v>42</v>
      </c>
      <c r="C39" s="53">
        <v>0</v>
      </c>
      <c r="D39" s="53"/>
      <c r="E39" s="53">
        <v>1000</v>
      </c>
      <c r="F39" s="53"/>
      <c r="G39" s="53">
        <v>1000</v>
      </c>
      <c r="H39" s="53">
        <v>0</v>
      </c>
      <c r="I39" s="53">
        <f>E39*0.21</f>
        <v>210</v>
      </c>
      <c r="J39" s="53">
        <f>C39+E39+H39+I39</f>
        <v>1210</v>
      </c>
      <c r="K39" s="54"/>
      <c r="N39" s="156"/>
    </row>
    <row r="40" spans="1:14" s="157" customFormat="1" ht="15" customHeight="1" x14ac:dyDescent="0.2">
      <c r="A40" s="64">
        <v>3.8</v>
      </c>
      <c r="B40" s="16" t="s">
        <v>43</v>
      </c>
      <c r="C40" s="53">
        <f>C41+C44+C45</f>
        <v>24341.679999999997</v>
      </c>
      <c r="D40" s="53"/>
      <c r="E40" s="53">
        <v>0</v>
      </c>
      <c r="F40" s="53"/>
      <c r="G40" s="53">
        <v>27566.67</v>
      </c>
      <c r="H40" s="53">
        <v>0</v>
      </c>
      <c r="I40" s="53">
        <f>C40*0.21</f>
        <v>5111.7527999999993</v>
      </c>
      <c r="J40" s="53">
        <f>C40+E40+H40+I40</f>
        <v>29453.432799999995</v>
      </c>
      <c r="K40" s="54"/>
    </row>
    <row r="41" spans="1:14" s="157" customFormat="1" ht="15.75" x14ac:dyDescent="0.2">
      <c r="A41" s="19" t="s">
        <v>44</v>
      </c>
      <c r="B41" s="16" t="s">
        <v>45</v>
      </c>
      <c r="C41" s="53">
        <v>1666.67</v>
      </c>
      <c r="D41" s="53"/>
      <c r="E41" s="53">
        <v>0</v>
      </c>
      <c r="F41" s="53"/>
      <c r="G41" s="53">
        <v>1666.67</v>
      </c>
      <c r="H41" s="53">
        <v>0</v>
      </c>
      <c r="I41" s="53">
        <f t="shared" ref="I41:I45" si="4">C41*0.21</f>
        <v>350.00069999999999</v>
      </c>
      <c r="J41" s="53">
        <f t="shared" ref="J41:J43" si="5">C41+E41+H41+I41</f>
        <v>2016.6707000000001</v>
      </c>
      <c r="K41" s="54"/>
    </row>
    <row r="42" spans="1:14" s="157" customFormat="1" ht="15.75" x14ac:dyDescent="0.2">
      <c r="A42" s="19" t="s">
        <v>46</v>
      </c>
      <c r="B42" s="16" t="s">
        <v>47</v>
      </c>
      <c r="C42" s="53">
        <v>1000</v>
      </c>
      <c r="D42" s="53"/>
      <c r="E42" s="53">
        <v>0</v>
      </c>
      <c r="F42" s="53"/>
      <c r="G42" s="53">
        <v>1000</v>
      </c>
      <c r="H42" s="53">
        <v>0</v>
      </c>
      <c r="I42" s="53">
        <f t="shared" si="4"/>
        <v>210</v>
      </c>
      <c r="J42" s="53">
        <f t="shared" si="5"/>
        <v>1210</v>
      </c>
      <c r="K42" s="54"/>
    </row>
    <row r="43" spans="1:14" s="157" customFormat="1" ht="65.25" customHeight="1" x14ac:dyDescent="0.2">
      <c r="A43" s="19" t="s">
        <v>48</v>
      </c>
      <c r="B43" s="16" t="s">
        <v>49</v>
      </c>
      <c r="C43" s="53">
        <v>666.67</v>
      </c>
      <c r="D43" s="53"/>
      <c r="E43" s="53">
        <v>0</v>
      </c>
      <c r="F43" s="53"/>
      <c r="G43" s="53">
        <v>666.67</v>
      </c>
      <c r="H43" s="53">
        <v>0</v>
      </c>
      <c r="I43" s="53">
        <f t="shared" si="4"/>
        <v>140.00069999999999</v>
      </c>
      <c r="J43" s="53">
        <f t="shared" si="5"/>
        <v>806.6706999999999</v>
      </c>
      <c r="K43" s="54"/>
      <c r="N43" s="158"/>
    </row>
    <row r="44" spans="1:14" s="157" customFormat="1" ht="15.75" x14ac:dyDescent="0.2">
      <c r="A44" s="19" t="s">
        <v>50</v>
      </c>
      <c r="B44" s="16" t="s">
        <v>51</v>
      </c>
      <c r="C44" s="53">
        <v>20416.669999999998</v>
      </c>
      <c r="D44" s="53"/>
      <c r="E44" s="53">
        <v>0</v>
      </c>
      <c r="F44" s="53"/>
      <c r="G44" s="53">
        <v>21500</v>
      </c>
      <c r="H44" s="53">
        <v>0</v>
      </c>
      <c r="I44" s="53">
        <f t="shared" si="4"/>
        <v>4287.5006999999996</v>
      </c>
      <c r="J44" s="53">
        <f>C44+E44+H44+I44</f>
        <v>24704.170699999999</v>
      </c>
      <c r="K44" s="54"/>
      <c r="N44" s="158"/>
    </row>
    <row r="45" spans="1:14" s="157" customFormat="1" ht="48.75" customHeight="1" x14ac:dyDescent="0.2">
      <c r="A45" s="25" t="s">
        <v>52</v>
      </c>
      <c r="B45" s="21" t="s">
        <v>53</v>
      </c>
      <c r="C45" s="66">
        <v>2258.34</v>
      </c>
      <c r="D45" s="66"/>
      <c r="E45" s="66">
        <v>0</v>
      </c>
      <c r="F45" s="66"/>
      <c r="G45" s="67">
        <v>4400</v>
      </c>
      <c r="H45" s="53">
        <v>0</v>
      </c>
      <c r="I45" s="53">
        <f t="shared" si="4"/>
        <v>474.25139999999999</v>
      </c>
      <c r="J45" s="53">
        <f>C45+E45+H45+I45</f>
        <v>2732.5914000000002</v>
      </c>
      <c r="K45" s="68"/>
      <c r="N45" s="158"/>
    </row>
    <row r="46" spans="1:14" s="7" customFormat="1" ht="15.75" x14ac:dyDescent="0.2">
      <c r="A46" s="167" t="s">
        <v>54</v>
      </c>
      <c r="B46" s="168"/>
      <c r="C46" s="69">
        <f>C20+C24+C25+C26+C29+C36+C37+C40</f>
        <v>80423.356666666659</v>
      </c>
      <c r="D46" s="69"/>
      <c r="E46" s="69">
        <f>E20+E24+E25+E26+E29+E36+E37+E40</f>
        <v>10833.33</v>
      </c>
      <c r="F46" s="69"/>
      <c r="G46" s="69">
        <f>G20+G24+G25+G26+G29+G36+G37+G40</f>
        <v>91814.18</v>
      </c>
      <c r="H46" s="69">
        <f>H40+H37+H29+H27+H25+H24+H20+H36</f>
        <v>11003.851266666665</v>
      </c>
      <c r="I46" s="69">
        <f>I40+I37+I28</f>
        <v>7001.7527999999993</v>
      </c>
      <c r="J46" s="69">
        <f>C46+E46+H46+I46</f>
        <v>109262.29073333333</v>
      </c>
      <c r="K46" s="70"/>
      <c r="N46" s="156"/>
    </row>
    <row r="47" spans="1:14" ht="12.75" customHeight="1" x14ac:dyDescent="0.2">
      <c r="A47" s="164" t="s">
        <v>103</v>
      </c>
      <c r="B47" s="165"/>
      <c r="C47" s="165"/>
      <c r="D47" s="165"/>
      <c r="E47" s="165"/>
      <c r="F47" s="165"/>
      <c r="G47" s="165"/>
      <c r="H47" s="165"/>
      <c r="I47" s="165"/>
      <c r="J47" s="165"/>
      <c r="K47" s="166"/>
    </row>
    <row r="48" spans="1:14" s="7" customFormat="1" ht="15.75" x14ac:dyDescent="0.2">
      <c r="A48" s="64">
        <v>4.0999999999999996</v>
      </c>
      <c r="B48" s="16" t="s">
        <v>55</v>
      </c>
      <c r="C48" s="72">
        <f>C49+C50+C51+C52</f>
        <v>2698226.1900000004</v>
      </c>
      <c r="D48" s="72"/>
      <c r="E48" s="53">
        <v>0</v>
      </c>
      <c r="F48" s="53"/>
      <c r="G48" s="53">
        <v>2406860.88</v>
      </c>
      <c r="H48" s="53">
        <v>0</v>
      </c>
      <c r="I48" s="53">
        <f>C48*0.21</f>
        <v>566627.49990000005</v>
      </c>
      <c r="J48" s="72">
        <f>C48+E48+H48+I48</f>
        <v>3264853.6899000006</v>
      </c>
      <c r="K48" s="76"/>
    </row>
    <row r="49" spans="1:11" s="7" customFormat="1" ht="15.75" x14ac:dyDescent="0.2">
      <c r="A49" s="28" t="s">
        <v>56</v>
      </c>
      <c r="B49" s="29" t="s">
        <v>57</v>
      </c>
      <c r="C49" s="74">
        <v>2463257.63</v>
      </c>
      <c r="D49" s="74"/>
      <c r="E49" s="53">
        <v>0</v>
      </c>
      <c r="F49" s="71"/>
      <c r="G49" s="71">
        <v>2403510.35</v>
      </c>
      <c r="H49" s="53">
        <v>0</v>
      </c>
      <c r="I49" s="53">
        <f t="shared" ref="I49:I60" si="6">C49*0.21</f>
        <v>517284.10229999997</v>
      </c>
      <c r="J49" s="72">
        <f t="shared" ref="J49:J60" si="7">C49+E49+H49+I49</f>
        <v>2980541.7322999998</v>
      </c>
      <c r="K49" s="75"/>
    </row>
    <row r="50" spans="1:11" s="7" customFormat="1" ht="15.75" x14ac:dyDescent="0.2">
      <c r="A50" s="28" t="s">
        <v>58</v>
      </c>
      <c r="B50" s="29" t="s">
        <v>61</v>
      </c>
      <c r="C50" s="71">
        <v>4274.24</v>
      </c>
      <c r="D50" s="71"/>
      <c r="E50" s="53">
        <v>0</v>
      </c>
      <c r="F50" s="71"/>
      <c r="G50" s="71">
        <v>2929.96</v>
      </c>
      <c r="H50" s="53">
        <v>0</v>
      </c>
      <c r="I50" s="53">
        <f t="shared" si="6"/>
        <v>897.59039999999993</v>
      </c>
      <c r="J50" s="72">
        <f t="shared" si="7"/>
        <v>5171.8303999999998</v>
      </c>
      <c r="K50" s="73"/>
    </row>
    <row r="51" spans="1:11" s="7" customFormat="1" ht="15.75" x14ac:dyDescent="0.2">
      <c r="A51" s="28" t="s">
        <v>60</v>
      </c>
      <c r="B51" s="29" t="s">
        <v>59</v>
      </c>
      <c r="C51" s="74">
        <v>998.14</v>
      </c>
      <c r="D51" s="71"/>
      <c r="E51" s="53">
        <v>0</v>
      </c>
      <c r="F51" s="71"/>
      <c r="G51" s="71">
        <v>420.57</v>
      </c>
      <c r="H51" s="53">
        <v>0</v>
      </c>
      <c r="I51" s="53">
        <f t="shared" si="6"/>
        <v>209.60939999999999</v>
      </c>
      <c r="J51" s="72">
        <f t="shared" si="7"/>
        <v>1207.7493999999999</v>
      </c>
      <c r="K51" s="73"/>
    </row>
    <row r="52" spans="1:11" s="7" customFormat="1" ht="15.75" x14ac:dyDescent="0.2">
      <c r="A52" s="28" t="s">
        <v>99</v>
      </c>
      <c r="B52" s="29" t="s">
        <v>64</v>
      </c>
      <c r="C52" s="74">
        <v>229696.18</v>
      </c>
      <c r="D52" s="71"/>
      <c r="E52" s="53">
        <v>0</v>
      </c>
      <c r="F52" s="71"/>
      <c r="G52" s="71">
        <v>0</v>
      </c>
      <c r="H52" s="53">
        <v>0</v>
      </c>
      <c r="I52" s="53">
        <f t="shared" si="6"/>
        <v>48236.197799999994</v>
      </c>
      <c r="J52" s="72">
        <f t="shared" si="7"/>
        <v>277932.37780000002</v>
      </c>
      <c r="K52" s="73"/>
    </row>
    <row r="53" spans="1:11" s="7" customFormat="1" ht="31.5" x14ac:dyDescent="0.2">
      <c r="A53" s="64">
        <v>4.2</v>
      </c>
      <c r="B53" s="16" t="s">
        <v>62</v>
      </c>
      <c r="C53" s="72">
        <f>C54</f>
        <v>39404.79</v>
      </c>
      <c r="D53" s="72"/>
      <c r="E53" s="53">
        <v>0</v>
      </c>
      <c r="F53" s="53"/>
      <c r="G53" s="53">
        <v>241989.85</v>
      </c>
      <c r="H53" s="53">
        <v>0</v>
      </c>
      <c r="I53" s="53">
        <f t="shared" si="6"/>
        <v>8275.0059000000001</v>
      </c>
      <c r="J53" s="72">
        <f t="shared" si="7"/>
        <v>47679.795899999997</v>
      </c>
      <c r="K53" s="76"/>
    </row>
    <row r="54" spans="1:11" s="7" customFormat="1" ht="15.75" x14ac:dyDescent="0.2">
      <c r="A54" s="28" t="s">
        <v>63</v>
      </c>
      <c r="B54" s="29" t="s">
        <v>61</v>
      </c>
      <c r="C54" s="74">
        <v>39404.79</v>
      </c>
      <c r="D54" s="74"/>
      <c r="E54" s="53">
        <v>0</v>
      </c>
      <c r="F54" s="71"/>
      <c r="G54" s="71">
        <v>37507.370000000003</v>
      </c>
      <c r="H54" s="53">
        <v>0</v>
      </c>
      <c r="I54" s="53">
        <f t="shared" si="6"/>
        <v>8275.0059000000001</v>
      </c>
      <c r="J54" s="72">
        <f t="shared" si="7"/>
        <v>47679.795899999997</v>
      </c>
      <c r="K54" s="75"/>
    </row>
    <row r="55" spans="1:11" s="7" customFormat="1" ht="31.5" x14ac:dyDescent="0.2">
      <c r="A55" s="64">
        <v>4.3</v>
      </c>
      <c r="B55" s="16" t="s">
        <v>66</v>
      </c>
      <c r="C55" s="72">
        <f>C56</f>
        <v>16000</v>
      </c>
      <c r="D55" s="72"/>
      <c r="E55" s="53">
        <v>0</v>
      </c>
      <c r="F55" s="53"/>
      <c r="G55" s="53">
        <v>75000</v>
      </c>
      <c r="H55" s="53">
        <v>0</v>
      </c>
      <c r="I55" s="53">
        <f t="shared" si="6"/>
        <v>3360</v>
      </c>
      <c r="J55" s="72">
        <f t="shared" si="7"/>
        <v>19360</v>
      </c>
      <c r="K55" s="76"/>
    </row>
    <row r="56" spans="1:11" s="7" customFormat="1" ht="15.75" x14ac:dyDescent="0.2">
      <c r="A56" s="28" t="s">
        <v>67</v>
      </c>
      <c r="B56" s="29" t="s">
        <v>61</v>
      </c>
      <c r="C56" s="74">
        <v>16000</v>
      </c>
      <c r="D56" s="74"/>
      <c r="E56" s="53">
        <v>0</v>
      </c>
      <c r="F56" s="71"/>
      <c r="G56" s="71">
        <v>75000</v>
      </c>
      <c r="H56" s="53">
        <v>0</v>
      </c>
      <c r="I56" s="53">
        <f t="shared" si="6"/>
        <v>3360</v>
      </c>
      <c r="J56" s="72">
        <f t="shared" si="7"/>
        <v>19360</v>
      </c>
      <c r="K56" s="75"/>
    </row>
    <row r="57" spans="1:11" s="7" customFormat="1" ht="47.25" x14ac:dyDescent="0.2">
      <c r="A57" s="64">
        <v>4.4000000000000004</v>
      </c>
      <c r="B57" s="16" t="s">
        <v>68</v>
      </c>
      <c r="C57" s="53">
        <v>0</v>
      </c>
      <c r="D57" s="53"/>
      <c r="E57" s="53">
        <v>0</v>
      </c>
      <c r="F57" s="53"/>
      <c r="G57" s="53">
        <v>0</v>
      </c>
      <c r="H57" s="53">
        <v>0</v>
      </c>
      <c r="I57" s="53">
        <f t="shared" si="6"/>
        <v>0</v>
      </c>
      <c r="J57" s="72">
        <f t="shared" si="7"/>
        <v>0</v>
      </c>
      <c r="K57" s="54"/>
    </row>
    <row r="58" spans="1:11" s="7" customFormat="1" ht="15.75" x14ac:dyDescent="0.2">
      <c r="A58" s="64">
        <v>4.5</v>
      </c>
      <c r="B58" s="16" t="s">
        <v>69</v>
      </c>
      <c r="C58" s="53">
        <v>0</v>
      </c>
      <c r="D58" s="53"/>
      <c r="E58" s="53">
        <v>0</v>
      </c>
      <c r="F58" s="53"/>
      <c r="G58" s="53">
        <v>0</v>
      </c>
      <c r="H58" s="53">
        <f>C58*0.19</f>
        <v>0</v>
      </c>
      <c r="I58" s="53">
        <f t="shared" si="6"/>
        <v>0</v>
      </c>
      <c r="J58" s="72">
        <f t="shared" si="7"/>
        <v>0</v>
      </c>
      <c r="K58" s="54"/>
    </row>
    <row r="59" spans="1:11" s="7" customFormat="1" ht="15.75" x14ac:dyDescent="0.2">
      <c r="A59" s="64">
        <v>4.5999999999999996</v>
      </c>
      <c r="B59" s="16" t="s">
        <v>70</v>
      </c>
      <c r="C59" s="53">
        <v>0</v>
      </c>
      <c r="D59" s="53"/>
      <c r="E59" s="53">
        <v>0</v>
      </c>
      <c r="F59" s="53"/>
      <c r="G59" s="53">
        <v>0</v>
      </c>
      <c r="H59" s="53">
        <f>C59*0.19</f>
        <v>0</v>
      </c>
      <c r="I59" s="53">
        <f t="shared" si="6"/>
        <v>0</v>
      </c>
      <c r="J59" s="72">
        <f t="shared" si="7"/>
        <v>0</v>
      </c>
      <c r="K59" s="54"/>
    </row>
    <row r="60" spans="1:11" s="149" customFormat="1" ht="15.75" x14ac:dyDescent="0.2">
      <c r="A60" s="167" t="s">
        <v>71</v>
      </c>
      <c r="B60" s="168"/>
      <c r="C60" s="150">
        <f>C48+C53+C55+C57+C58+C59</f>
        <v>2753630.9800000004</v>
      </c>
      <c r="D60" s="87"/>
      <c r="E60" s="69">
        <v>0</v>
      </c>
      <c r="F60" s="69"/>
      <c r="G60" s="69">
        <f>G48+G53+G55+G57+G58+G59</f>
        <v>2723850.73</v>
      </c>
      <c r="H60" s="69">
        <v>0</v>
      </c>
      <c r="I60" s="69">
        <f t="shared" si="6"/>
        <v>578262.50580000004</v>
      </c>
      <c r="J60" s="87">
        <f t="shared" si="7"/>
        <v>3331893.4858000004</v>
      </c>
      <c r="K60" s="79"/>
    </row>
    <row r="61" spans="1:11" s="7" customFormat="1" ht="15.75" x14ac:dyDescent="0.2">
      <c r="A61" s="164" t="s">
        <v>104</v>
      </c>
      <c r="B61" s="165"/>
      <c r="C61" s="165"/>
      <c r="D61" s="165"/>
      <c r="E61" s="165"/>
      <c r="F61" s="165"/>
      <c r="G61" s="165"/>
      <c r="H61" s="165"/>
      <c r="I61" s="165"/>
      <c r="J61" s="165"/>
      <c r="K61" s="166"/>
    </row>
    <row r="62" spans="1:11" s="7" customFormat="1" ht="15.75" x14ac:dyDescent="0.2">
      <c r="A62" s="64">
        <v>5.0999999999999996</v>
      </c>
      <c r="B62" s="16" t="s">
        <v>72</v>
      </c>
      <c r="C62" s="72">
        <v>0</v>
      </c>
      <c r="D62" s="72"/>
      <c r="E62" s="53">
        <v>0</v>
      </c>
      <c r="F62" s="53"/>
      <c r="G62" s="53">
        <v>60000</v>
      </c>
      <c r="H62" s="53">
        <f>C62*0.21</f>
        <v>0</v>
      </c>
      <c r="I62" s="53">
        <v>0</v>
      </c>
      <c r="J62" s="72">
        <f t="shared" ref="J62:J70" si="8">C62+E62+H62</f>
        <v>0</v>
      </c>
      <c r="K62" s="76"/>
    </row>
    <row r="63" spans="1:11" s="7" customFormat="1" ht="31.5" x14ac:dyDescent="0.2">
      <c r="A63" s="19" t="s">
        <v>73</v>
      </c>
      <c r="B63" s="16" t="s">
        <v>74</v>
      </c>
      <c r="C63" s="72">
        <v>0</v>
      </c>
      <c r="D63" s="72"/>
      <c r="E63" s="53">
        <v>0</v>
      </c>
      <c r="F63" s="53"/>
      <c r="G63" s="53">
        <v>50000</v>
      </c>
      <c r="H63" s="53">
        <f>C63*0.21</f>
        <v>0</v>
      </c>
      <c r="I63" s="53">
        <v>0</v>
      </c>
      <c r="J63" s="72">
        <f t="shared" si="8"/>
        <v>0</v>
      </c>
      <c r="K63" s="76"/>
    </row>
    <row r="64" spans="1:11" s="7" customFormat="1" ht="15.75" x14ac:dyDescent="0.2">
      <c r="A64" s="25" t="s">
        <v>75</v>
      </c>
      <c r="B64" s="21" t="s">
        <v>76</v>
      </c>
      <c r="C64" s="77">
        <v>0</v>
      </c>
      <c r="D64" s="77"/>
      <c r="E64" s="53">
        <v>0</v>
      </c>
      <c r="F64" s="66"/>
      <c r="G64" s="67">
        <v>10000</v>
      </c>
      <c r="H64" s="53">
        <f>C64*0.21</f>
        <v>0</v>
      </c>
      <c r="I64" s="53">
        <v>0</v>
      </c>
      <c r="J64" s="72">
        <f t="shared" si="8"/>
        <v>0</v>
      </c>
      <c r="K64" s="78"/>
    </row>
    <row r="65" spans="1:11" s="7" customFormat="1" ht="15.75" x14ac:dyDescent="0.2">
      <c r="A65" s="64">
        <v>5.2</v>
      </c>
      <c r="B65" s="16" t="s">
        <v>77</v>
      </c>
      <c r="C65" s="72">
        <f>C66+C67+C68+C69+C70</f>
        <v>30113.940780000004</v>
      </c>
      <c r="D65" s="72"/>
      <c r="E65" s="53">
        <v>0</v>
      </c>
      <c r="F65" s="53"/>
      <c r="G65" s="53">
        <v>26977.06</v>
      </c>
      <c r="H65" s="53">
        <f>H66+H67+H68+H69+H70</f>
        <v>0</v>
      </c>
      <c r="I65" s="53">
        <v>0</v>
      </c>
      <c r="J65" s="72">
        <f t="shared" si="8"/>
        <v>30113.940780000004</v>
      </c>
      <c r="K65" s="76"/>
    </row>
    <row r="66" spans="1:11" s="7" customFormat="1" ht="31.5" x14ac:dyDescent="0.2">
      <c r="A66" s="19" t="s">
        <v>78</v>
      </c>
      <c r="B66" s="16" t="s">
        <v>79</v>
      </c>
      <c r="C66" s="53">
        <v>0</v>
      </c>
      <c r="D66" s="53"/>
      <c r="E66" s="53">
        <v>0</v>
      </c>
      <c r="F66" s="53"/>
      <c r="G66" s="53">
        <v>0</v>
      </c>
      <c r="H66" s="53">
        <f>C66*0.21</f>
        <v>0</v>
      </c>
      <c r="I66" s="53">
        <v>0</v>
      </c>
      <c r="J66" s="72">
        <f t="shared" si="8"/>
        <v>0</v>
      </c>
      <c r="K66" s="54"/>
    </row>
    <row r="67" spans="1:11" s="7" customFormat="1" ht="31.5" x14ac:dyDescent="0.2">
      <c r="A67" s="19" t="s">
        <v>80</v>
      </c>
      <c r="B67" s="16" t="s">
        <v>81</v>
      </c>
      <c r="C67" s="72">
        <f>C85*0.005</f>
        <v>13688.154900000003</v>
      </c>
      <c r="D67" s="72"/>
      <c r="E67" s="53">
        <v>0</v>
      </c>
      <c r="F67" s="53"/>
      <c r="G67" s="53">
        <v>12262.3</v>
      </c>
      <c r="H67" s="53">
        <v>0</v>
      </c>
      <c r="I67" s="53">
        <v>0</v>
      </c>
      <c r="J67" s="72">
        <f t="shared" si="8"/>
        <v>13688.154900000003</v>
      </c>
      <c r="K67" s="76"/>
    </row>
    <row r="68" spans="1:11" s="7" customFormat="1" ht="47.25" x14ac:dyDescent="0.2">
      <c r="A68" s="19" t="s">
        <v>82</v>
      </c>
      <c r="B68" s="16" t="s">
        <v>83</v>
      </c>
      <c r="C68" s="72">
        <f>C85*0.001</f>
        <v>2737.6309800000004</v>
      </c>
      <c r="D68" s="53"/>
      <c r="E68" s="53">
        <v>0</v>
      </c>
      <c r="F68" s="53"/>
      <c r="G68" s="53">
        <v>2452.46</v>
      </c>
      <c r="H68" s="53">
        <v>0</v>
      </c>
      <c r="I68" s="53">
        <v>0</v>
      </c>
      <c r="J68" s="72">
        <f t="shared" si="8"/>
        <v>2737.6309800000004</v>
      </c>
      <c r="K68" s="54"/>
    </row>
    <row r="69" spans="1:11" s="7" customFormat="1" ht="31.5" x14ac:dyDescent="0.2">
      <c r="A69" s="19" t="s">
        <v>84</v>
      </c>
      <c r="B69" s="16" t="s">
        <v>85</v>
      </c>
      <c r="C69" s="72">
        <f>C85*0.005</f>
        <v>13688.154900000003</v>
      </c>
      <c r="D69" s="72"/>
      <c r="E69" s="53">
        <v>0</v>
      </c>
      <c r="F69" s="53"/>
      <c r="G69" s="53">
        <v>12262.3</v>
      </c>
      <c r="H69" s="53">
        <v>0</v>
      </c>
      <c r="I69" s="53">
        <v>0</v>
      </c>
      <c r="J69" s="72">
        <f t="shared" si="8"/>
        <v>13688.154900000003</v>
      </c>
      <c r="K69" s="76"/>
    </row>
    <row r="70" spans="1:11" s="7" customFormat="1" ht="31.5" x14ac:dyDescent="0.2">
      <c r="A70" s="19" t="s">
        <v>86</v>
      </c>
      <c r="B70" s="16" t="s">
        <v>87</v>
      </c>
      <c r="C70" s="53">
        <v>0</v>
      </c>
      <c r="D70" s="53"/>
      <c r="E70" s="53">
        <v>0</v>
      </c>
      <c r="F70" s="53"/>
      <c r="G70" s="53">
        <v>0</v>
      </c>
      <c r="H70" s="53">
        <f>C70*0.21</f>
        <v>0</v>
      </c>
      <c r="I70" s="53">
        <v>0</v>
      </c>
      <c r="J70" s="72">
        <f t="shared" si="8"/>
        <v>0</v>
      </c>
      <c r="K70" s="54"/>
    </row>
    <row r="71" spans="1:11" s="7" customFormat="1" ht="15.75" x14ac:dyDescent="0.2">
      <c r="A71" s="64">
        <v>5.3</v>
      </c>
      <c r="B71" s="16" t="s">
        <v>88</v>
      </c>
      <c r="C71" s="72">
        <v>232316.25</v>
      </c>
      <c r="D71" s="72"/>
      <c r="E71" s="53">
        <v>0</v>
      </c>
      <c r="F71" s="53"/>
      <c r="G71" s="53">
        <v>242302.81</v>
      </c>
      <c r="H71" s="53">
        <v>0</v>
      </c>
      <c r="I71" s="53">
        <f>C71*0.21</f>
        <v>48786.412499999999</v>
      </c>
      <c r="J71" s="72">
        <f>C71+E71+H71+I71</f>
        <v>281102.66249999998</v>
      </c>
      <c r="K71" s="76"/>
    </row>
    <row r="72" spans="1:11" s="7" customFormat="1" ht="15.75" x14ac:dyDescent="0.2">
      <c r="A72" s="64">
        <v>5.4</v>
      </c>
      <c r="B72" s="16" t="s">
        <v>89</v>
      </c>
      <c r="C72" s="72">
        <v>2000</v>
      </c>
      <c r="D72" s="53"/>
      <c r="E72" s="53">
        <v>0</v>
      </c>
      <c r="F72" s="53"/>
      <c r="G72" s="53">
        <v>2000</v>
      </c>
      <c r="H72" s="53">
        <f>H73+I74</f>
        <v>416.47899999999998</v>
      </c>
      <c r="I72" s="53">
        <v>0</v>
      </c>
      <c r="J72" s="72">
        <f>C72+E72+H72</f>
        <v>2416.4789999999998</v>
      </c>
      <c r="K72" s="54"/>
    </row>
    <row r="73" spans="1:11" s="7" customFormat="1" ht="31.5" x14ac:dyDescent="0.2">
      <c r="A73" s="130" t="s">
        <v>115</v>
      </c>
      <c r="B73" s="16" t="s">
        <v>117</v>
      </c>
      <c r="C73" s="72">
        <v>176.05</v>
      </c>
      <c r="D73" s="53"/>
      <c r="E73" s="53">
        <v>0</v>
      </c>
      <c r="F73" s="53"/>
      <c r="G73" s="53"/>
      <c r="H73" s="53">
        <f>C73*0.19</f>
        <v>33.4495</v>
      </c>
      <c r="I73" s="53">
        <v>0</v>
      </c>
      <c r="J73" s="72">
        <f>C73+H73</f>
        <v>209.49950000000001</v>
      </c>
      <c r="K73" s="54"/>
    </row>
    <row r="74" spans="1:11" s="7" customFormat="1" ht="31.5" x14ac:dyDescent="0.2">
      <c r="A74" s="130" t="s">
        <v>116</v>
      </c>
      <c r="B74" s="16" t="s">
        <v>121</v>
      </c>
      <c r="C74" s="72">
        <v>1823.95</v>
      </c>
      <c r="D74" s="53"/>
      <c r="E74" s="53">
        <v>0</v>
      </c>
      <c r="F74" s="53"/>
      <c r="G74" s="53"/>
      <c r="H74" s="53">
        <v>0</v>
      </c>
      <c r="I74" s="53">
        <f>C74*0.21</f>
        <v>383.02949999999998</v>
      </c>
      <c r="J74" s="72">
        <f>C74+I74</f>
        <v>2206.9794999999999</v>
      </c>
      <c r="K74" s="54"/>
    </row>
    <row r="75" spans="1:11" s="149" customFormat="1" ht="15.75" x14ac:dyDescent="0.2">
      <c r="A75" s="167" t="s">
        <v>90</v>
      </c>
      <c r="B75" s="168"/>
      <c r="C75" s="87">
        <f>C62+C65+C71+C72</f>
        <v>264430.19078</v>
      </c>
      <c r="D75" s="87"/>
      <c r="E75" s="69">
        <v>0</v>
      </c>
      <c r="F75" s="69"/>
      <c r="G75" s="69">
        <f>G62+G65+G71+G72</f>
        <v>331279.87</v>
      </c>
      <c r="H75" s="69">
        <f>H62+H65+H71+H73+H72</f>
        <v>449.92849999999999</v>
      </c>
      <c r="I75" s="69">
        <f>I62+I65+I71+I74</f>
        <v>49169.441999999995</v>
      </c>
      <c r="J75" s="87">
        <f>J62+J65+J71+J72</f>
        <v>313633.08227999997</v>
      </c>
      <c r="K75" s="79"/>
    </row>
    <row r="76" spans="1:11" s="7" customFormat="1" ht="15.75" x14ac:dyDescent="0.2">
      <c r="A76" s="164" t="s">
        <v>105</v>
      </c>
      <c r="B76" s="165"/>
      <c r="C76" s="165"/>
      <c r="D76" s="165"/>
      <c r="E76" s="165"/>
      <c r="F76" s="165"/>
      <c r="G76" s="165"/>
      <c r="H76" s="165"/>
      <c r="I76" s="165"/>
      <c r="J76" s="165"/>
      <c r="K76" s="166"/>
    </row>
    <row r="77" spans="1:11" s="7" customFormat="1" ht="15.75" x14ac:dyDescent="0.2">
      <c r="A77" s="64">
        <v>6.1</v>
      </c>
      <c r="B77" s="16" t="s">
        <v>91</v>
      </c>
      <c r="C77" s="53">
        <v>0</v>
      </c>
      <c r="D77" s="53">
        <v>0</v>
      </c>
      <c r="E77" s="53">
        <v>0</v>
      </c>
      <c r="F77" s="53">
        <v>0</v>
      </c>
      <c r="G77" s="53"/>
      <c r="H77" s="53">
        <v>0</v>
      </c>
      <c r="I77" s="53">
        <v>0</v>
      </c>
      <c r="J77" s="53">
        <v>0</v>
      </c>
      <c r="K77" s="54">
        <v>0</v>
      </c>
    </row>
    <row r="78" spans="1:11" s="7" customFormat="1" ht="15.75" x14ac:dyDescent="0.2">
      <c r="A78" s="64">
        <v>6.2</v>
      </c>
      <c r="B78" s="16" t="s">
        <v>92</v>
      </c>
      <c r="C78" s="53">
        <v>0</v>
      </c>
      <c r="D78" s="53">
        <v>0</v>
      </c>
      <c r="E78" s="53">
        <v>0</v>
      </c>
      <c r="F78" s="53">
        <v>0</v>
      </c>
      <c r="G78" s="53"/>
      <c r="H78" s="53">
        <v>0</v>
      </c>
      <c r="I78" s="53">
        <v>0</v>
      </c>
      <c r="J78" s="53">
        <v>0</v>
      </c>
      <c r="K78" s="54">
        <v>0</v>
      </c>
    </row>
    <row r="79" spans="1:11" s="7" customFormat="1" ht="15.75" x14ac:dyDescent="0.2">
      <c r="A79" s="167" t="s">
        <v>93</v>
      </c>
      <c r="B79" s="168"/>
      <c r="C79" s="69">
        <v>0</v>
      </c>
      <c r="D79" s="69">
        <v>0</v>
      </c>
      <c r="E79" s="69">
        <v>0</v>
      </c>
      <c r="F79" s="69">
        <v>0</v>
      </c>
      <c r="G79" s="69"/>
      <c r="H79" s="69">
        <v>0</v>
      </c>
      <c r="I79" s="69">
        <v>0</v>
      </c>
      <c r="J79" s="69">
        <v>0</v>
      </c>
      <c r="K79" s="70">
        <v>0</v>
      </c>
    </row>
    <row r="80" spans="1:11" s="7" customFormat="1" ht="15.75" x14ac:dyDescent="0.2">
      <c r="A80" s="164" t="s">
        <v>106</v>
      </c>
      <c r="B80" s="165"/>
      <c r="C80" s="165"/>
      <c r="D80" s="165"/>
      <c r="E80" s="165"/>
      <c r="F80" s="165"/>
      <c r="G80" s="165"/>
      <c r="H80" s="165"/>
      <c r="I80" s="165"/>
      <c r="J80" s="165"/>
      <c r="K80" s="166"/>
    </row>
    <row r="81" spans="1:11" s="7" customFormat="1" ht="15.75" x14ac:dyDescent="0.2">
      <c r="A81" s="64">
        <v>7.1</v>
      </c>
      <c r="B81" s="16" t="s">
        <v>94</v>
      </c>
      <c r="C81" s="53">
        <v>0</v>
      </c>
      <c r="D81" s="53">
        <v>0</v>
      </c>
      <c r="E81" s="72">
        <v>0</v>
      </c>
      <c r="F81" s="72">
        <v>60758.96</v>
      </c>
      <c r="G81" s="72">
        <v>60758.96</v>
      </c>
      <c r="H81" s="53">
        <f>E81*0.21</f>
        <v>0</v>
      </c>
      <c r="I81" s="53"/>
      <c r="J81" s="72">
        <f>C81+E81+H81</f>
        <v>0</v>
      </c>
      <c r="K81" s="76"/>
    </row>
    <row r="82" spans="1:11" s="7" customFormat="1" ht="31.5" x14ac:dyDescent="0.2">
      <c r="A82" s="64">
        <v>7.2</v>
      </c>
      <c r="B82" s="16" t="s">
        <v>95</v>
      </c>
      <c r="C82" s="53">
        <v>0</v>
      </c>
      <c r="D82" s="53">
        <v>0</v>
      </c>
      <c r="E82" s="72">
        <v>137992.24</v>
      </c>
      <c r="F82" s="72">
        <v>88900.28</v>
      </c>
      <c r="G82" s="72">
        <v>88900.28</v>
      </c>
      <c r="H82" s="53">
        <v>0</v>
      </c>
      <c r="I82" s="53">
        <f>E82*0.21</f>
        <v>28978.370399999996</v>
      </c>
      <c r="J82" s="72">
        <f>C82+E82+H82+I82</f>
        <v>166970.61039999998</v>
      </c>
      <c r="K82" s="76"/>
    </row>
    <row r="83" spans="1:11" s="7" customFormat="1" ht="15.75" x14ac:dyDescent="0.2">
      <c r="A83" s="167" t="s">
        <v>96</v>
      </c>
      <c r="B83" s="168"/>
      <c r="C83" s="69">
        <f>C81+C82</f>
        <v>0</v>
      </c>
      <c r="D83" s="69">
        <v>0</v>
      </c>
      <c r="E83" s="69">
        <f>E81+E82</f>
        <v>137992.24</v>
      </c>
      <c r="F83" s="69">
        <f t="shared" ref="F83:G83" si="9">F81+F82</f>
        <v>149659.24</v>
      </c>
      <c r="G83" s="69">
        <f t="shared" si="9"/>
        <v>149659.24</v>
      </c>
      <c r="H83" s="69">
        <f>H81+H82</f>
        <v>0</v>
      </c>
      <c r="I83" s="53">
        <f>E83*0.21</f>
        <v>28978.370399999996</v>
      </c>
      <c r="J83" s="72">
        <f>C83+E83+H83+I83</f>
        <v>166970.61039999998</v>
      </c>
      <c r="K83" s="79"/>
    </row>
    <row r="84" spans="1:11" s="95" customFormat="1" ht="15.75" x14ac:dyDescent="0.2">
      <c r="A84" s="169" t="s">
        <v>98</v>
      </c>
      <c r="B84" s="170"/>
      <c r="C84" s="92">
        <f>C15+C18+C46+C60+C75+C79+C83</f>
        <v>3098484.5274466667</v>
      </c>
      <c r="D84" s="92">
        <f>D15+D18+D46+D60+D75+D79+D83</f>
        <v>0</v>
      </c>
      <c r="E84" s="92">
        <f>E15+E18+E46+E60+E75+E79+E83</f>
        <v>148825.56999999998</v>
      </c>
      <c r="F84" s="92">
        <f>F15+F18+F46+F60+F75+F79+F83</f>
        <v>149659.24</v>
      </c>
      <c r="G84" s="92">
        <f>G15+G18+G46+G60+G75+G79+G83</f>
        <v>3296604.0200000005</v>
      </c>
      <c r="H84" s="92">
        <f>H15+H18+H46+H60+H75+H79+H83</f>
        <v>11453.779766666665</v>
      </c>
      <c r="I84" s="92">
        <f>I15+I18+I60+I75+I79+I83+I46</f>
        <v>663412.07100000011</v>
      </c>
      <c r="J84" s="93">
        <f>C84+E84+H84+I84</f>
        <v>3922175.9482133333</v>
      </c>
      <c r="K84" s="94"/>
    </row>
    <row r="85" spans="1:11" s="95" customFormat="1" ht="15.75" x14ac:dyDescent="0.2">
      <c r="A85" s="171" t="s">
        <v>97</v>
      </c>
      <c r="B85" s="172"/>
      <c r="C85" s="96">
        <f>C15+C18+C48+C53+C63</f>
        <v>2737630.9800000004</v>
      </c>
      <c r="D85" s="96">
        <f>D15+D18+D48+D53+D63</f>
        <v>0</v>
      </c>
      <c r="E85" s="96">
        <f>E15+E18+E48+E53+E63</f>
        <v>0</v>
      </c>
      <c r="F85" s="96">
        <f>F15+F18+F48+F53+F63</f>
        <v>0</v>
      </c>
      <c r="G85" s="96">
        <f>G15+G18+G48+G53+G63</f>
        <v>2698850.73</v>
      </c>
      <c r="H85" s="96">
        <v>0</v>
      </c>
      <c r="I85" s="96">
        <f>C85*0.21</f>
        <v>574902.50580000004</v>
      </c>
      <c r="J85" s="96">
        <f>C85+E85+H85+I85</f>
        <v>3312533.4858000004</v>
      </c>
      <c r="K85" s="97"/>
    </row>
    <row r="86" spans="1:11" s="6" customFormat="1" x14ac:dyDescent="0.2">
      <c r="A86" s="10"/>
      <c r="B86" s="10"/>
      <c r="C86" s="80"/>
      <c r="D86" s="80"/>
      <c r="E86" s="80"/>
      <c r="F86" s="80"/>
      <c r="G86" s="80"/>
      <c r="H86" s="80"/>
      <c r="I86" s="80"/>
      <c r="J86" s="80"/>
      <c r="K86" s="81"/>
    </row>
    <row r="87" spans="1:11" x14ac:dyDescent="0.2">
      <c r="A87" s="3"/>
      <c r="B87" s="3"/>
      <c r="C87" s="82"/>
      <c r="D87" s="82"/>
      <c r="E87" s="82"/>
      <c r="F87" s="82"/>
      <c r="G87" s="82"/>
      <c r="H87" s="82"/>
      <c r="I87" s="82"/>
      <c r="J87" s="82"/>
      <c r="K87" s="83"/>
    </row>
    <row r="88" spans="1:11" x14ac:dyDescent="0.2">
      <c r="A88" s="3"/>
      <c r="B88" s="3"/>
      <c r="C88" s="82"/>
      <c r="D88" s="82"/>
      <c r="E88" s="82"/>
      <c r="F88" s="82"/>
      <c r="G88" s="82"/>
      <c r="H88" s="82"/>
      <c r="I88" s="82"/>
      <c r="J88" s="82"/>
      <c r="K88" s="83"/>
    </row>
    <row r="89" spans="1:11" ht="12.75" customHeight="1" x14ac:dyDescent="0.25">
      <c r="A89" s="205"/>
      <c r="B89" s="163" t="s">
        <v>148</v>
      </c>
      <c r="C89" s="205"/>
      <c r="D89" s="205"/>
      <c r="E89" s="205"/>
      <c r="F89" s="205"/>
      <c r="G89" s="205"/>
      <c r="H89" s="205" t="s">
        <v>134</v>
      </c>
      <c r="I89" s="205"/>
      <c r="J89" s="205"/>
      <c r="K89" s="205"/>
    </row>
    <row r="90" spans="1:11" ht="15.75" x14ac:dyDescent="0.2">
      <c r="A90" s="85"/>
      <c r="B90" s="207" t="s">
        <v>147</v>
      </c>
      <c r="C90" s="85"/>
      <c r="D90" s="85"/>
      <c r="E90" s="208" t="s">
        <v>149</v>
      </c>
      <c r="F90" s="208"/>
      <c r="G90" s="208"/>
      <c r="H90" s="208"/>
      <c r="I90" s="208"/>
      <c r="J90" s="85"/>
      <c r="K90" s="85"/>
    </row>
    <row r="91" spans="1:11" x14ac:dyDescent="0.2">
      <c r="A91" s="85"/>
      <c r="B91" s="85"/>
      <c r="C91" s="85"/>
      <c r="D91" s="85"/>
      <c r="E91" s="85"/>
      <c r="F91" s="85"/>
      <c r="G91" s="85"/>
      <c r="H91" s="85"/>
      <c r="I91" s="85"/>
      <c r="J91" s="85"/>
      <c r="K91" s="85"/>
    </row>
  </sheetData>
  <mergeCells count="24">
    <mergeCell ref="E90:I90"/>
    <mergeCell ref="A5:K5"/>
    <mergeCell ref="A6:A7"/>
    <mergeCell ref="B6:B7"/>
    <mergeCell ref="C6:D6"/>
    <mergeCell ref="E6:F6"/>
    <mergeCell ref="J6:K6"/>
    <mergeCell ref="H6:I6"/>
    <mergeCell ref="A79:B79"/>
    <mergeCell ref="A10:K10"/>
    <mergeCell ref="A15:B15"/>
    <mergeCell ref="A17:K17"/>
    <mergeCell ref="A18:B18"/>
    <mergeCell ref="A19:K19"/>
    <mergeCell ref="A46:B46"/>
    <mergeCell ref="A47:K47"/>
    <mergeCell ref="A60:B60"/>
    <mergeCell ref="A61:K61"/>
    <mergeCell ref="A75:B75"/>
    <mergeCell ref="A76:K76"/>
    <mergeCell ref="A80:K80"/>
    <mergeCell ref="A83:B83"/>
    <mergeCell ref="A84:B84"/>
    <mergeCell ref="A85:B85"/>
  </mergeCells>
  <pageMargins left="0.7" right="0.7" top="0.75" bottom="0.75" header="0.3" footer="0.3"/>
  <pageSetup paperSize="9" orientation="portrait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8DD84-E038-473D-8EAE-97D57D3E5DC1}">
  <sheetPr>
    <tabColor rgb="FF92D050"/>
  </sheetPr>
  <dimension ref="A3:O93"/>
  <sheetViews>
    <sheetView topLeftCell="B1" workbookViewId="0">
      <selection activeCell="C90" sqref="C90:J91"/>
    </sheetView>
  </sheetViews>
  <sheetFormatPr defaultRowHeight="12.75" x14ac:dyDescent="0.2"/>
  <cols>
    <col min="3" max="3" width="52.83203125" customWidth="1"/>
    <col min="4" max="4" width="18.1640625" customWidth="1"/>
    <col min="5" max="5" width="0" hidden="1" customWidth="1"/>
    <col min="6" max="6" width="18" customWidth="1"/>
    <col min="7" max="8" width="0" hidden="1" customWidth="1"/>
    <col min="9" max="11" width="17.83203125" customWidth="1"/>
    <col min="12" max="12" width="0" hidden="1" customWidth="1"/>
  </cols>
  <sheetData>
    <row r="3" spans="2:12" ht="15.75" x14ac:dyDescent="0.2"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2:12" ht="15.75" x14ac:dyDescent="0.2"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</row>
    <row r="5" spans="2:12" ht="83.25" customHeight="1" x14ac:dyDescent="0.2">
      <c r="B5" s="203" t="s">
        <v>143</v>
      </c>
      <c r="C5" s="204"/>
      <c r="D5" s="204"/>
      <c r="E5" s="204"/>
      <c r="F5" s="204"/>
      <c r="G5" s="204"/>
      <c r="H5" s="204"/>
      <c r="I5" s="204"/>
      <c r="J5" s="204"/>
      <c r="K5" s="204"/>
      <c r="L5" s="204"/>
    </row>
    <row r="6" spans="2:12" ht="78.75" x14ac:dyDescent="0.2">
      <c r="B6" s="177" t="s">
        <v>0</v>
      </c>
      <c r="C6" s="179" t="s">
        <v>1</v>
      </c>
      <c r="D6" s="181" t="s">
        <v>2</v>
      </c>
      <c r="E6" s="182"/>
      <c r="F6" s="181" t="s">
        <v>3</v>
      </c>
      <c r="G6" s="182"/>
      <c r="H6" s="129" t="s">
        <v>100</v>
      </c>
      <c r="I6" s="183" t="s">
        <v>4</v>
      </c>
      <c r="J6" s="183"/>
      <c r="K6" s="183" t="s">
        <v>5</v>
      </c>
      <c r="L6" s="183"/>
    </row>
    <row r="7" spans="2:12" ht="15.75" x14ac:dyDescent="0.2">
      <c r="B7" s="178"/>
      <c r="C7" s="180"/>
      <c r="D7" s="44" t="s">
        <v>6</v>
      </c>
      <c r="E7" s="44" t="s">
        <v>7</v>
      </c>
      <c r="F7" s="44" t="s">
        <v>6</v>
      </c>
      <c r="G7" s="44" t="s">
        <v>7</v>
      </c>
      <c r="H7" s="44" t="s">
        <v>6</v>
      </c>
      <c r="I7" s="43" t="s">
        <v>123</v>
      </c>
      <c r="J7" s="43" t="s">
        <v>124</v>
      </c>
      <c r="K7" s="43" t="s">
        <v>6</v>
      </c>
      <c r="L7" s="84" t="s">
        <v>7</v>
      </c>
    </row>
    <row r="8" spans="2:12" ht="15.75" x14ac:dyDescent="0.2">
      <c r="B8" s="45">
        <v>1</v>
      </c>
      <c r="C8" s="46">
        <v>2</v>
      </c>
      <c r="D8" s="46">
        <v>3</v>
      </c>
      <c r="E8" s="46">
        <v>4</v>
      </c>
      <c r="F8" s="46">
        <v>4</v>
      </c>
      <c r="G8" s="46">
        <v>6</v>
      </c>
      <c r="H8" s="46">
        <v>5</v>
      </c>
      <c r="I8" s="46">
        <v>5</v>
      </c>
      <c r="J8" s="46">
        <v>6</v>
      </c>
      <c r="K8" s="46">
        <v>7</v>
      </c>
      <c r="L8" s="47">
        <v>9</v>
      </c>
    </row>
    <row r="9" spans="2:12" ht="15.75" x14ac:dyDescent="0.25"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</row>
    <row r="10" spans="2:12" ht="15.75" x14ac:dyDescent="0.2">
      <c r="B10" s="174" t="s">
        <v>107</v>
      </c>
      <c r="C10" s="175"/>
      <c r="D10" s="175"/>
      <c r="E10" s="175"/>
      <c r="F10" s="175"/>
      <c r="G10" s="175"/>
      <c r="H10" s="175"/>
      <c r="I10" s="175"/>
      <c r="J10" s="175"/>
      <c r="K10" s="175"/>
      <c r="L10" s="176"/>
    </row>
    <row r="11" spans="2:12" ht="15.75" x14ac:dyDescent="0.2">
      <c r="B11" s="49">
        <v>1.1000000000000001</v>
      </c>
      <c r="C11" s="50" t="s">
        <v>8</v>
      </c>
      <c r="D11" s="51">
        <v>0</v>
      </c>
      <c r="E11" s="51">
        <v>0</v>
      </c>
      <c r="F11" s="51">
        <v>0</v>
      </c>
      <c r="G11" s="51">
        <v>0</v>
      </c>
      <c r="H11" s="51">
        <v>0</v>
      </c>
      <c r="I11" s="51">
        <v>0</v>
      </c>
      <c r="J11" s="51"/>
      <c r="K11" s="51">
        <v>0</v>
      </c>
      <c r="L11" s="52">
        <v>0</v>
      </c>
    </row>
    <row r="12" spans="2:12" ht="15.75" x14ac:dyDescent="0.2">
      <c r="B12" s="49">
        <v>1.2</v>
      </c>
      <c r="C12" s="50" t="s">
        <v>9</v>
      </c>
      <c r="D12" s="51">
        <v>0</v>
      </c>
      <c r="E12" s="51">
        <v>0</v>
      </c>
      <c r="F12" s="51">
        <v>0</v>
      </c>
      <c r="G12" s="51">
        <v>0</v>
      </c>
      <c r="H12" s="51">
        <v>0</v>
      </c>
      <c r="I12" s="51">
        <v>0</v>
      </c>
      <c r="J12" s="51"/>
      <c r="K12" s="51">
        <v>0</v>
      </c>
      <c r="L12" s="52">
        <v>0</v>
      </c>
    </row>
    <row r="13" spans="2:12" ht="31.5" x14ac:dyDescent="0.2">
      <c r="B13" s="49">
        <v>1.3</v>
      </c>
      <c r="C13" s="50" t="s">
        <v>10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  <c r="J13" s="51"/>
      <c r="K13" s="51">
        <v>0</v>
      </c>
      <c r="L13" s="52">
        <v>0</v>
      </c>
    </row>
    <row r="14" spans="2:12" ht="15.75" x14ac:dyDescent="0.2">
      <c r="B14" s="49">
        <v>1.4</v>
      </c>
      <c r="C14" s="50" t="s">
        <v>11</v>
      </c>
      <c r="D14" s="51">
        <v>0</v>
      </c>
      <c r="E14" s="51">
        <v>0</v>
      </c>
      <c r="F14" s="51">
        <v>0</v>
      </c>
      <c r="G14" s="51">
        <v>0</v>
      </c>
      <c r="H14" s="51">
        <v>0</v>
      </c>
      <c r="I14" s="51">
        <v>0</v>
      </c>
      <c r="J14" s="51"/>
      <c r="K14" s="51">
        <v>0</v>
      </c>
      <c r="L14" s="52">
        <v>0</v>
      </c>
    </row>
    <row r="15" spans="2:12" ht="15.75" x14ac:dyDescent="0.2">
      <c r="B15" s="171" t="s">
        <v>12</v>
      </c>
      <c r="C15" s="172"/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/>
      <c r="K15" s="13">
        <v>0</v>
      </c>
      <c r="L15" s="14">
        <v>0</v>
      </c>
    </row>
    <row r="16" spans="2:12" ht="15.75" x14ac:dyDescent="0.25"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</row>
    <row r="17" spans="2:12" ht="15.75" x14ac:dyDescent="0.2">
      <c r="B17" s="174" t="s">
        <v>102</v>
      </c>
      <c r="C17" s="175"/>
      <c r="D17" s="175"/>
      <c r="E17" s="175"/>
      <c r="F17" s="175"/>
      <c r="G17" s="175"/>
      <c r="H17" s="175"/>
      <c r="I17" s="175"/>
      <c r="J17" s="175"/>
      <c r="K17" s="175"/>
      <c r="L17" s="176"/>
    </row>
    <row r="18" spans="2:12" ht="15.75" x14ac:dyDescent="0.2">
      <c r="B18" s="171" t="s">
        <v>13</v>
      </c>
      <c r="C18" s="172"/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/>
      <c r="K18" s="13">
        <v>0</v>
      </c>
      <c r="L18" s="14">
        <v>0</v>
      </c>
    </row>
    <row r="19" spans="2:12" ht="15.75" x14ac:dyDescent="0.2">
      <c r="B19" s="174" t="s">
        <v>130</v>
      </c>
      <c r="C19" s="175"/>
      <c r="D19" s="175"/>
      <c r="E19" s="175"/>
      <c r="F19" s="175"/>
      <c r="G19" s="175"/>
      <c r="H19" s="175"/>
      <c r="I19" s="175"/>
      <c r="J19" s="175"/>
      <c r="K19" s="175"/>
      <c r="L19" s="176"/>
    </row>
    <row r="20" spans="2:12" ht="15.75" x14ac:dyDescent="0.2">
      <c r="B20" s="15">
        <v>3.1</v>
      </c>
      <c r="C20" s="16" t="s">
        <v>14</v>
      </c>
      <c r="D20" s="17">
        <v>1666.67</v>
      </c>
      <c r="E20" s="17"/>
      <c r="F20" s="17">
        <v>0</v>
      </c>
      <c r="G20" s="17">
        <v>0</v>
      </c>
      <c r="H20" s="17">
        <v>1666.67</v>
      </c>
      <c r="I20" s="17">
        <f t="shared" ref="I20:I25" si="0">D20*0.19</f>
        <v>316.66730000000001</v>
      </c>
      <c r="J20" s="17">
        <v>0</v>
      </c>
      <c r="K20" s="17">
        <f t="shared" ref="K20:K25" si="1">D20+F20+I20</f>
        <v>1983.3373000000001</v>
      </c>
      <c r="L20" s="18"/>
    </row>
    <row r="21" spans="2:12" ht="15.75" x14ac:dyDescent="0.2">
      <c r="B21" s="19" t="s">
        <v>15</v>
      </c>
      <c r="C21" s="16" t="s">
        <v>16</v>
      </c>
      <c r="D21" s="17">
        <v>1666.67</v>
      </c>
      <c r="E21" s="17"/>
      <c r="F21" s="17">
        <v>0</v>
      </c>
      <c r="G21" s="17">
        <v>0</v>
      </c>
      <c r="H21" s="17">
        <v>1666.67</v>
      </c>
      <c r="I21" s="17">
        <f t="shared" si="0"/>
        <v>316.66730000000001</v>
      </c>
      <c r="J21" s="17">
        <v>0</v>
      </c>
      <c r="K21" s="17">
        <f t="shared" si="1"/>
        <v>1983.3373000000001</v>
      </c>
      <c r="L21" s="18"/>
    </row>
    <row r="22" spans="2:12" ht="15.75" x14ac:dyDescent="0.2">
      <c r="B22" s="19" t="s">
        <v>17</v>
      </c>
      <c r="C22" s="16" t="s">
        <v>18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f t="shared" si="0"/>
        <v>0</v>
      </c>
      <c r="J22" s="17">
        <v>0</v>
      </c>
      <c r="K22" s="17">
        <f t="shared" si="1"/>
        <v>0</v>
      </c>
      <c r="L22" s="18">
        <v>0</v>
      </c>
    </row>
    <row r="23" spans="2:12" ht="15.75" x14ac:dyDescent="0.2">
      <c r="B23" s="19" t="s">
        <v>19</v>
      </c>
      <c r="C23" s="16" t="s">
        <v>20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f t="shared" si="0"/>
        <v>0</v>
      </c>
      <c r="J23" s="17">
        <v>0</v>
      </c>
      <c r="K23" s="17">
        <f t="shared" si="1"/>
        <v>0</v>
      </c>
      <c r="L23" s="18">
        <v>0</v>
      </c>
    </row>
    <row r="24" spans="2:12" ht="31.5" x14ac:dyDescent="0.2">
      <c r="B24" s="20">
        <v>3.2</v>
      </c>
      <c r="C24" s="21" t="s">
        <v>21</v>
      </c>
      <c r="D24" s="22">
        <v>166.66666666666666</v>
      </c>
      <c r="E24" s="22"/>
      <c r="F24" s="22">
        <v>0</v>
      </c>
      <c r="G24" s="22">
        <v>0</v>
      </c>
      <c r="H24" s="23">
        <v>166.67</v>
      </c>
      <c r="I24" s="17">
        <f t="shared" si="0"/>
        <v>31.666666666666664</v>
      </c>
      <c r="J24" s="17">
        <v>0</v>
      </c>
      <c r="K24" s="17">
        <f t="shared" si="1"/>
        <v>198.33333333333331</v>
      </c>
      <c r="L24" s="24"/>
    </row>
    <row r="25" spans="2:12" ht="15.75" x14ac:dyDescent="0.2">
      <c r="B25" s="15">
        <v>3.3</v>
      </c>
      <c r="C25" s="16" t="s">
        <v>22</v>
      </c>
      <c r="D25" s="17">
        <v>1250</v>
      </c>
      <c r="E25" s="17"/>
      <c r="F25" s="17">
        <v>0</v>
      </c>
      <c r="G25" s="17">
        <v>0</v>
      </c>
      <c r="H25" s="17">
        <v>1250</v>
      </c>
      <c r="I25" s="17">
        <f t="shared" si="0"/>
        <v>237.5</v>
      </c>
      <c r="J25" s="17">
        <v>0</v>
      </c>
      <c r="K25" s="17">
        <f t="shared" si="1"/>
        <v>1487.5</v>
      </c>
      <c r="L25" s="18"/>
    </row>
    <row r="26" spans="2:12" ht="31.5" x14ac:dyDescent="0.2">
      <c r="B26" s="15">
        <v>3.4</v>
      </c>
      <c r="C26" s="16" t="s">
        <v>23</v>
      </c>
      <c r="D26" s="17">
        <f>D27+D28</f>
        <v>4666.67</v>
      </c>
      <c r="E26" s="17"/>
      <c r="F26" s="17">
        <v>0</v>
      </c>
      <c r="G26" s="17">
        <v>0</v>
      </c>
      <c r="H26" s="17">
        <v>2000</v>
      </c>
      <c r="I26" s="17">
        <f>I27+J28</f>
        <v>966.66729999999995</v>
      </c>
      <c r="J26" s="17"/>
      <c r="K26" s="17">
        <f>K27+K28</f>
        <v>5633.3373000000001</v>
      </c>
      <c r="L26" s="18"/>
    </row>
    <row r="27" spans="2:12" ht="31.5" x14ac:dyDescent="0.2">
      <c r="B27" s="15" t="s">
        <v>113</v>
      </c>
      <c r="C27" s="16" t="s">
        <v>119</v>
      </c>
      <c r="D27" s="17">
        <v>666.67</v>
      </c>
      <c r="E27" s="17"/>
      <c r="F27" s="17">
        <v>0</v>
      </c>
      <c r="G27" s="17"/>
      <c r="H27" s="17"/>
      <c r="I27" s="17">
        <f>D27*0.19</f>
        <v>126.6673</v>
      </c>
      <c r="J27" s="17">
        <v>0</v>
      </c>
      <c r="K27" s="17">
        <f>D27+F27+I27</f>
        <v>793.33729999999991</v>
      </c>
      <c r="L27" s="18"/>
    </row>
    <row r="28" spans="2:12" ht="31.5" x14ac:dyDescent="0.2">
      <c r="B28" s="15" t="s">
        <v>114</v>
      </c>
      <c r="C28" s="16" t="s">
        <v>120</v>
      </c>
      <c r="D28" s="17">
        <v>4000</v>
      </c>
      <c r="E28" s="17"/>
      <c r="F28" s="17">
        <v>0</v>
      </c>
      <c r="G28" s="17"/>
      <c r="H28" s="17"/>
      <c r="I28" s="17">
        <v>0</v>
      </c>
      <c r="J28" s="17">
        <f>D28*0.21</f>
        <v>840</v>
      </c>
      <c r="K28" s="17">
        <f>+D28+F28+I28+J28</f>
        <v>4840</v>
      </c>
      <c r="L28" s="18"/>
    </row>
    <row r="29" spans="2:12" ht="15.75" x14ac:dyDescent="0.2">
      <c r="B29" s="15">
        <v>3.5</v>
      </c>
      <c r="C29" s="16" t="s">
        <v>24</v>
      </c>
      <c r="D29" s="17">
        <f>D30+D31+D32+D33+D34+D35</f>
        <v>48331.67</v>
      </c>
      <c r="E29" s="17"/>
      <c r="F29" s="17">
        <v>0</v>
      </c>
      <c r="G29" s="17">
        <v>0</v>
      </c>
      <c r="H29" s="17">
        <v>48164.17</v>
      </c>
      <c r="I29" s="17">
        <f t="shared" ref="I29:I35" si="2">D29*0.19</f>
        <v>9183.0172999999995</v>
      </c>
      <c r="J29" s="17">
        <v>0</v>
      </c>
      <c r="K29" s="17">
        <f t="shared" ref="K29:K36" si="3">D29+F29+I29</f>
        <v>57514.687299999998</v>
      </c>
      <c r="L29" s="18"/>
    </row>
    <row r="30" spans="2:12" ht="15.75" x14ac:dyDescent="0.2">
      <c r="B30" s="19" t="s">
        <v>25</v>
      </c>
      <c r="C30" s="16" t="s">
        <v>26</v>
      </c>
      <c r="D30" s="17">
        <v>0</v>
      </c>
      <c r="E30" s="17"/>
      <c r="F30" s="17">
        <v>0</v>
      </c>
      <c r="G30" s="17">
        <v>0</v>
      </c>
      <c r="H30" s="17">
        <v>0</v>
      </c>
      <c r="I30" s="17">
        <f t="shared" si="2"/>
        <v>0</v>
      </c>
      <c r="J30" s="17">
        <v>0</v>
      </c>
      <c r="K30" s="17">
        <f t="shared" si="3"/>
        <v>0</v>
      </c>
      <c r="L30" s="18"/>
    </row>
    <row r="31" spans="2:12" ht="15.75" x14ac:dyDescent="0.2">
      <c r="B31" s="19" t="s">
        <v>27</v>
      </c>
      <c r="C31" s="16" t="s">
        <v>28</v>
      </c>
      <c r="D31" s="17">
        <v>0</v>
      </c>
      <c r="E31" s="17"/>
      <c r="F31" s="17">
        <v>0</v>
      </c>
      <c r="G31" s="17">
        <v>0</v>
      </c>
      <c r="H31" s="17">
        <v>0</v>
      </c>
      <c r="I31" s="17">
        <f t="shared" si="2"/>
        <v>0</v>
      </c>
      <c r="J31" s="17">
        <v>0</v>
      </c>
      <c r="K31" s="17">
        <f t="shared" si="3"/>
        <v>0</v>
      </c>
      <c r="L31" s="18"/>
    </row>
    <row r="32" spans="2:12" ht="31.5" x14ac:dyDescent="0.2">
      <c r="B32" s="19" t="s">
        <v>29</v>
      </c>
      <c r="C32" s="16" t="s">
        <v>30</v>
      </c>
      <c r="D32" s="17">
        <v>5000</v>
      </c>
      <c r="E32" s="17"/>
      <c r="F32" s="17">
        <v>0</v>
      </c>
      <c r="G32" s="17">
        <v>0</v>
      </c>
      <c r="H32" s="17">
        <v>5000</v>
      </c>
      <c r="I32" s="17">
        <f t="shared" si="2"/>
        <v>950</v>
      </c>
      <c r="J32" s="17">
        <v>0</v>
      </c>
      <c r="K32" s="17">
        <f t="shared" si="3"/>
        <v>5950</v>
      </c>
      <c r="L32" s="18"/>
    </row>
    <row r="33" spans="2:12" ht="31.5" x14ac:dyDescent="0.2">
      <c r="B33" s="19" t="s">
        <v>31</v>
      </c>
      <c r="C33" s="16" t="s">
        <v>32</v>
      </c>
      <c r="D33" s="53">
        <v>166.67</v>
      </c>
      <c r="E33" s="53"/>
      <c r="F33" s="53">
        <v>0</v>
      </c>
      <c r="G33" s="53"/>
      <c r="H33" s="53">
        <v>1500</v>
      </c>
      <c r="I33" s="53">
        <f t="shared" si="2"/>
        <v>31.667299999999997</v>
      </c>
      <c r="J33" s="53">
        <v>0</v>
      </c>
      <c r="K33" s="53">
        <f t="shared" si="3"/>
        <v>198.33729999999997</v>
      </c>
      <c r="L33" s="54"/>
    </row>
    <row r="34" spans="2:12" ht="31.5" x14ac:dyDescent="0.2">
      <c r="B34" s="19" t="s">
        <v>33</v>
      </c>
      <c r="C34" s="16" t="s">
        <v>34</v>
      </c>
      <c r="D34" s="17">
        <v>5500.83</v>
      </c>
      <c r="E34" s="17"/>
      <c r="F34" s="17">
        <v>0</v>
      </c>
      <c r="G34" s="17"/>
      <c r="H34" s="17">
        <v>5500</v>
      </c>
      <c r="I34" s="17">
        <f t="shared" si="2"/>
        <v>1045.1577</v>
      </c>
      <c r="J34" s="17">
        <v>0</v>
      </c>
      <c r="K34" s="17">
        <f t="shared" si="3"/>
        <v>6545.9876999999997</v>
      </c>
      <c r="L34" s="18"/>
    </row>
    <row r="35" spans="2:12" ht="15.75" x14ac:dyDescent="0.2">
      <c r="B35" s="19" t="s">
        <v>35</v>
      </c>
      <c r="C35" s="16" t="s">
        <v>36</v>
      </c>
      <c r="D35" s="17">
        <v>37664.17</v>
      </c>
      <c r="E35" s="17"/>
      <c r="F35" s="17">
        <v>0</v>
      </c>
      <c r="G35" s="17"/>
      <c r="H35" s="17">
        <v>36164.17</v>
      </c>
      <c r="I35" s="17">
        <f t="shared" si="2"/>
        <v>7156.1922999999997</v>
      </c>
      <c r="J35" s="17">
        <v>0</v>
      </c>
      <c r="K35" s="17">
        <f t="shared" si="3"/>
        <v>44820.362300000001</v>
      </c>
      <c r="L35" s="18"/>
    </row>
    <row r="36" spans="2:12" ht="15.75" x14ac:dyDescent="0.2">
      <c r="B36" s="15">
        <v>3.6</v>
      </c>
      <c r="C36" s="16" t="s">
        <v>37</v>
      </c>
      <c r="D36" s="17">
        <v>0</v>
      </c>
      <c r="E36" s="17"/>
      <c r="F36" s="17">
        <v>5833.33</v>
      </c>
      <c r="G36" s="17"/>
      <c r="H36" s="17">
        <v>6000</v>
      </c>
      <c r="I36" s="17">
        <f>(D36+F36)*0.19</f>
        <v>1108.3326999999999</v>
      </c>
      <c r="J36" s="17">
        <v>0</v>
      </c>
      <c r="K36" s="17">
        <f t="shared" si="3"/>
        <v>6941.6626999999999</v>
      </c>
      <c r="L36" s="18"/>
    </row>
    <row r="37" spans="2:12" ht="15.75" x14ac:dyDescent="0.2">
      <c r="B37" s="15">
        <v>3.7</v>
      </c>
      <c r="C37" s="16" t="s">
        <v>38</v>
      </c>
      <c r="D37" s="17">
        <v>0</v>
      </c>
      <c r="E37" s="17"/>
      <c r="F37" s="17">
        <v>5000</v>
      </c>
      <c r="G37" s="17"/>
      <c r="H37" s="17">
        <v>5000</v>
      </c>
      <c r="I37" s="17">
        <v>0</v>
      </c>
      <c r="J37" s="17">
        <f>F37*0.21</f>
        <v>1050</v>
      </c>
      <c r="K37" s="17">
        <f>D37+F37+I37+J37</f>
        <v>6050</v>
      </c>
      <c r="L37" s="18"/>
    </row>
    <row r="38" spans="2:12" ht="31.5" x14ac:dyDescent="0.2">
      <c r="B38" s="19" t="s">
        <v>39</v>
      </c>
      <c r="C38" s="16" t="s">
        <v>40</v>
      </c>
      <c r="D38" s="17">
        <v>0</v>
      </c>
      <c r="E38" s="17"/>
      <c r="F38" s="17">
        <v>4000</v>
      </c>
      <c r="G38" s="17"/>
      <c r="H38" s="17">
        <v>4000</v>
      </c>
      <c r="I38" s="17">
        <v>0</v>
      </c>
      <c r="J38" s="17">
        <f>F38*0.21</f>
        <v>840</v>
      </c>
      <c r="K38" s="17">
        <f>D38+F38+I38+J38</f>
        <v>4840</v>
      </c>
      <c r="L38" s="18"/>
    </row>
    <row r="39" spans="2:12" ht="15.75" x14ac:dyDescent="0.2">
      <c r="B39" s="19" t="s">
        <v>41</v>
      </c>
      <c r="C39" s="16" t="s">
        <v>42</v>
      </c>
      <c r="D39" s="17">
        <v>0</v>
      </c>
      <c r="E39" s="17"/>
      <c r="F39" s="17">
        <v>1000</v>
      </c>
      <c r="G39" s="17"/>
      <c r="H39" s="17">
        <v>1000</v>
      </c>
      <c r="I39" s="17">
        <v>0</v>
      </c>
      <c r="J39" s="17">
        <f>F39*0.21</f>
        <v>210</v>
      </c>
      <c r="K39" s="17">
        <f>D39+F39+I39+J39</f>
        <v>1210</v>
      </c>
      <c r="L39" s="18"/>
    </row>
    <row r="40" spans="2:12" ht="15.75" x14ac:dyDescent="0.2">
      <c r="B40" s="15">
        <v>3.8</v>
      </c>
      <c r="C40" s="16" t="s">
        <v>43</v>
      </c>
      <c r="D40" s="17">
        <f>D41+D44+D45</f>
        <v>24341.679999999997</v>
      </c>
      <c r="E40" s="17"/>
      <c r="F40" s="17">
        <v>0</v>
      </c>
      <c r="G40" s="17"/>
      <c r="H40" s="17">
        <v>27566.67</v>
      </c>
      <c r="I40" s="17">
        <v>0</v>
      </c>
      <c r="J40" s="17">
        <f>D40*0.21</f>
        <v>5111.7527999999993</v>
      </c>
      <c r="K40" s="17">
        <f>D40+F40+I40+J40</f>
        <v>29453.432799999995</v>
      </c>
      <c r="L40" s="18"/>
    </row>
    <row r="41" spans="2:12" ht="15.75" x14ac:dyDescent="0.2">
      <c r="B41" s="19" t="s">
        <v>44</v>
      </c>
      <c r="C41" s="16" t="s">
        <v>45</v>
      </c>
      <c r="D41" s="17">
        <v>1666.67</v>
      </c>
      <c r="E41" s="17"/>
      <c r="F41" s="17">
        <v>0</v>
      </c>
      <c r="G41" s="17"/>
      <c r="H41" s="17">
        <v>1666.67</v>
      </c>
      <c r="I41" s="17">
        <v>0</v>
      </c>
      <c r="J41" s="17">
        <f t="shared" ref="J41:J45" si="4">D41*0.21</f>
        <v>350.00069999999999</v>
      </c>
      <c r="K41" s="17">
        <f t="shared" ref="K41:K43" si="5">D41+F41+I41+J41</f>
        <v>2016.6707000000001</v>
      </c>
      <c r="L41" s="18"/>
    </row>
    <row r="42" spans="2:12" ht="15.75" x14ac:dyDescent="0.2">
      <c r="B42" s="19" t="s">
        <v>46</v>
      </c>
      <c r="C42" s="16" t="s">
        <v>47</v>
      </c>
      <c r="D42" s="17">
        <v>1000</v>
      </c>
      <c r="E42" s="17"/>
      <c r="F42" s="17">
        <v>0</v>
      </c>
      <c r="G42" s="17"/>
      <c r="H42" s="17">
        <v>1000</v>
      </c>
      <c r="I42" s="17">
        <v>0</v>
      </c>
      <c r="J42" s="17">
        <f t="shared" si="4"/>
        <v>210</v>
      </c>
      <c r="K42" s="17">
        <f t="shared" si="5"/>
        <v>1210</v>
      </c>
      <c r="L42" s="18"/>
    </row>
    <row r="43" spans="2:12" ht="47.25" x14ac:dyDescent="0.2">
      <c r="B43" s="19" t="s">
        <v>48</v>
      </c>
      <c r="C43" s="16" t="s">
        <v>49</v>
      </c>
      <c r="D43" s="17">
        <v>666.67</v>
      </c>
      <c r="E43" s="17"/>
      <c r="F43" s="17">
        <v>0</v>
      </c>
      <c r="G43" s="17"/>
      <c r="H43" s="17">
        <v>666.67</v>
      </c>
      <c r="I43" s="17">
        <v>0</v>
      </c>
      <c r="J43" s="17">
        <f t="shared" si="4"/>
        <v>140.00069999999999</v>
      </c>
      <c r="K43" s="17">
        <f t="shared" si="5"/>
        <v>806.6706999999999</v>
      </c>
      <c r="L43" s="18"/>
    </row>
    <row r="44" spans="2:12" ht="15.75" x14ac:dyDescent="0.2">
      <c r="B44" s="19" t="s">
        <v>50</v>
      </c>
      <c r="C44" s="16" t="s">
        <v>51</v>
      </c>
      <c r="D44" s="17">
        <v>20416.669999999998</v>
      </c>
      <c r="E44" s="17"/>
      <c r="F44" s="17">
        <v>0</v>
      </c>
      <c r="G44" s="17"/>
      <c r="H44" s="17">
        <v>21500</v>
      </c>
      <c r="I44" s="17">
        <v>0</v>
      </c>
      <c r="J44" s="17">
        <f t="shared" si="4"/>
        <v>4287.5006999999996</v>
      </c>
      <c r="K44" s="17">
        <f>D44+F44+I44+J44</f>
        <v>24704.170699999999</v>
      </c>
      <c r="L44" s="18"/>
    </row>
    <row r="45" spans="2:12" ht="47.25" x14ac:dyDescent="0.2">
      <c r="B45" s="25" t="s">
        <v>52</v>
      </c>
      <c r="C45" s="21" t="s">
        <v>53</v>
      </c>
      <c r="D45" s="22">
        <v>2258.34</v>
      </c>
      <c r="E45" s="22"/>
      <c r="F45" s="22">
        <v>0</v>
      </c>
      <c r="G45" s="22"/>
      <c r="H45" s="23">
        <v>4400</v>
      </c>
      <c r="I45" s="17">
        <v>0</v>
      </c>
      <c r="J45" s="17">
        <f t="shared" si="4"/>
        <v>474.25139999999999</v>
      </c>
      <c r="K45" s="17">
        <f>D45+F45+I45+J45</f>
        <v>2732.5914000000002</v>
      </c>
      <c r="L45" s="24"/>
    </row>
    <row r="46" spans="2:12" ht="15.75" x14ac:dyDescent="0.2">
      <c r="B46" s="167" t="s">
        <v>54</v>
      </c>
      <c r="C46" s="168"/>
      <c r="D46" s="26">
        <f>D20+D24+D25+D26+D29+D36+D37+D40</f>
        <v>80423.356666666659</v>
      </c>
      <c r="E46" s="26"/>
      <c r="F46" s="26">
        <f>F20+F24+F25+F26+F29+F36+F37+F40</f>
        <v>10833.33</v>
      </c>
      <c r="G46" s="26"/>
      <c r="H46" s="26">
        <f>H20+H24+H25+H26+H29+H36+H37+H40</f>
        <v>91814.18</v>
      </c>
      <c r="I46" s="26">
        <f>I36+I29+I27+I25+I20+I24</f>
        <v>11003.851266666663</v>
      </c>
      <c r="J46" s="26">
        <f>J40+J37+J28</f>
        <v>7001.7527999999993</v>
      </c>
      <c r="K46" s="26">
        <f>D46+F46+I46+J46</f>
        <v>109262.29073333333</v>
      </c>
      <c r="L46" s="27"/>
    </row>
    <row r="47" spans="2:12" ht="15.75" x14ac:dyDescent="0.2">
      <c r="B47" s="164" t="s">
        <v>103</v>
      </c>
      <c r="C47" s="165"/>
      <c r="D47" s="165"/>
      <c r="E47" s="165"/>
      <c r="F47" s="165"/>
      <c r="G47" s="165"/>
      <c r="H47" s="165"/>
      <c r="I47" s="165"/>
      <c r="J47" s="165"/>
      <c r="K47" s="165"/>
      <c r="L47" s="166"/>
    </row>
    <row r="48" spans="2:12" s="98" customFormat="1" ht="15.75" x14ac:dyDescent="0.2">
      <c r="B48" s="99">
        <v>4.0999999999999996</v>
      </c>
      <c r="C48" s="50" t="s">
        <v>55</v>
      </c>
      <c r="D48" s="100">
        <f>D49+D50+D51+D52</f>
        <v>1942092.48</v>
      </c>
      <c r="E48" s="100"/>
      <c r="F48" s="101">
        <v>0</v>
      </c>
      <c r="G48" s="101"/>
      <c r="H48" s="101">
        <v>2406860.88</v>
      </c>
      <c r="I48" s="101">
        <v>0</v>
      </c>
      <c r="J48" s="101">
        <f>D48*0.21</f>
        <v>407839.42079999996</v>
      </c>
      <c r="K48" s="100">
        <f>D48+F48+I48+J48</f>
        <v>2349931.9007999999</v>
      </c>
      <c r="L48" s="102"/>
    </row>
    <row r="49" spans="2:12" s="98" customFormat="1" ht="15.75" x14ac:dyDescent="0.2">
      <c r="B49" s="103" t="s">
        <v>56</v>
      </c>
      <c r="C49" s="104" t="s">
        <v>57</v>
      </c>
      <c r="D49" s="105">
        <f>1731586.89+90469.32</f>
        <v>1822056.21</v>
      </c>
      <c r="E49" s="105"/>
      <c r="F49" s="101">
        <v>0</v>
      </c>
      <c r="G49" s="106"/>
      <c r="H49" s="106">
        <v>2403510.35</v>
      </c>
      <c r="I49" s="101">
        <v>0</v>
      </c>
      <c r="J49" s="101">
        <f t="shared" ref="J49:J60" si="6">D49*0.21</f>
        <v>382631.80409999995</v>
      </c>
      <c r="K49" s="100">
        <f t="shared" ref="K49:K60" si="7">D49+F49+I49+J49</f>
        <v>2204688.0140999998</v>
      </c>
      <c r="L49" s="107"/>
    </row>
    <row r="50" spans="2:12" s="98" customFormat="1" ht="15.75" x14ac:dyDescent="0.2">
      <c r="B50" s="103" t="s">
        <v>58</v>
      </c>
      <c r="C50" s="104" t="s">
        <v>61</v>
      </c>
      <c r="D50" s="106">
        <f>4195.13+59.39</f>
        <v>4254.5200000000004</v>
      </c>
      <c r="E50" s="106"/>
      <c r="F50" s="101">
        <v>0</v>
      </c>
      <c r="G50" s="106"/>
      <c r="H50" s="106">
        <v>2929.96</v>
      </c>
      <c r="I50" s="101">
        <v>0</v>
      </c>
      <c r="J50" s="101">
        <f t="shared" si="6"/>
        <v>893.44920000000002</v>
      </c>
      <c r="K50" s="100">
        <f t="shared" si="7"/>
        <v>5147.9692000000005</v>
      </c>
      <c r="L50" s="108"/>
    </row>
    <row r="51" spans="2:12" s="98" customFormat="1" ht="15.75" x14ac:dyDescent="0.2">
      <c r="B51" s="103" t="s">
        <v>60</v>
      </c>
      <c r="C51" s="104" t="s">
        <v>59</v>
      </c>
      <c r="D51" s="105">
        <f>980.97+39.59</f>
        <v>1020.5600000000001</v>
      </c>
      <c r="E51" s="106"/>
      <c r="F51" s="101">
        <v>0</v>
      </c>
      <c r="G51" s="106"/>
      <c r="H51" s="106">
        <v>420.57</v>
      </c>
      <c r="I51" s="101">
        <v>0</v>
      </c>
      <c r="J51" s="101">
        <f t="shared" si="6"/>
        <v>214.3176</v>
      </c>
      <c r="K51" s="100">
        <f t="shared" si="7"/>
        <v>1234.8776</v>
      </c>
      <c r="L51" s="108"/>
    </row>
    <row r="52" spans="2:12" s="98" customFormat="1" ht="15.75" x14ac:dyDescent="0.2">
      <c r="B52" s="103" t="s">
        <v>99</v>
      </c>
      <c r="C52" s="104" t="s">
        <v>64</v>
      </c>
      <c r="D52" s="105">
        <f>106347.74+8413.45</f>
        <v>114761.19</v>
      </c>
      <c r="E52" s="106"/>
      <c r="F52" s="101">
        <v>0</v>
      </c>
      <c r="G52" s="106"/>
      <c r="H52" s="106">
        <v>0</v>
      </c>
      <c r="I52" s="101">
        <v>0</v>
      </c>
      <c r="J52" s="101">
        <f t="shared" si="6"/>
        <v>24099.849900000001</v>
      </c>
      <c r="K52" s="100">
        <f t="shared" si="7"/>
        <v>138861.0399</v>
      </c>
      <c r="L52" s="108"/>
    </row>
    <row r="53" spans="2:12" s="98" customFormat="1" ht="31.5" x14ac:dyDescent="0.2">
      <c r="B53" s="99">
        <v>4.2</v>
      </c>
      <c r="C53" s="50" t="s">
        <v>62</v>
      </c>
      <c r="D53" s="100">
        <f>D54</f>
        <v>52313.33</v>
      </c>
      <c r="E53" s="100"/>
      <c r="F53" s="101">
        <v>0</v>
      </c>
      <c r="G53" s="101"/>
      <c r="H53" s="101">
        <v>241989.85</v>
      </c>
      <c r="I53" s="101">
        <v>0</v>
      </c>
      <c r="J53" s="101">
        <f t="shared" si="6"/>
        <v>10985.799300000001</v>
      </c>
      <c r="K53" s="100">
        <f t="shared" si="7"/>
        <v>63299.129300000001</v>
      </c>
      <c r="L53" s="102"/>
    </row>
    <row r="54" spans="2:12" s="98" customFormat="1" ht="15.75" x14ac:dyDescent="0.2">
      <c r="B54" s="103" t="s">
        <v>63</v>
      </c>
      <c r="C54" s="104" t="s">
        <v>61</v>
      </c>
      <c r="D54" s="105">
        <v>52313.33</v>
      </c>
      <c r="E54" s="105"/>
      <c r="F54" s="101">
        <v>0</v>
      </c>
      <c r="G54" s="106"/>
      <c r="H54" s="106">
        <v>37507.370000000003</v>
      </c>
      <c r="I54" s="101">
        <v>0</v>
      </c>
      <c r="J54" s="101">
        <f t="shared" si="6"/>
        <v>10985.799300000001</v>
      </c>
      <c r="K54" s="100">
        <f t="shared" si="7"/>
        <v>63299.129300000001</v>
      </c>
      <c r="L54" s="107"/>
    </row>
    <row r="55" spans="2:12" s="98" customFormat="1" ht="31.5" x14ac:dyDescent="0.2">
      <c r="B55" s="99">
        <v>4.3</v>
      </c>
      <c r="C55" s="50" t="s">
        <v>66</v>
      </c>
      <c r="D55" s="100">
        <f>D56</f>
        <v>16000</v>
      </c>
      <c r="E55" s="100"/>
      <c r="F55" s="101">
        <v>0</v>
      </c>
      <c r="G55" s="101"/>
      <c r="H55" s="101">
        <v>75000</v>
      </c>
      <c r="I55" s="101">
        <v>0</v>
      </c>
      <c r="J55" s="101">
        <f t="shared" si="6"/>
        <v>3360</v>
      </c>
      <c r="K55" s="100">
        <f t="shared" si="7"/>
        <v>19360</v>
      </c>
      <c r="L55" s="102"/>
    </row>
    <row r="56" spans="2:12" s="98" customFormat="1" ht="15.75" x14ac:dyDescent="0.2">
      <c r="B56" s="103" t="s">
        <v>67</v>
      </c>
      <c r="C56" s="104" t="s">
        <v>61</v>
      </c>
      <c r="D56" s="105">
        <v>16000</v>
      </c>
      <c r="E56" s="105"/>
      <c r="F56" s="101">
        <v>0</v>
      </c>
      <c r="G56" s="106"/>
      <c r="H56" s="106">
        <v>75000</v>
      </c>
      <c r="I56" s="101">
        <v>0</v>
      </c>
      <c r="J56" s="101">
        <f t="shared" si="6"/>
        <v>3360</v>
      </c>
      <c r="K56" s="100">
        <f t="shared" si="7"/>
        <v>19360</v>
      </c>
      <c r="L56" s="107"/>
    </row>
    <row r="57" spans="2:12" s="98" customFormat="1" ht="47.25" x14ac:dyDescent="0.2">
      <c r="B57" s="99">
        <v>4.4000000000000004</v>
      </c>
      <c r="C57" s="50" t="s">
        <v>68</v>
      </c>
      <c r="D57" s="101">
        <v>0</v>
      </c>
      <c r="E57" s="101"/>
      <c r="F57" s="101">
        <v>0</v>
      </c>
      <c r="G57" s="101"/>
      <c r="H57" s="101">
        <v>0</v>
      </c>
      <c r="I57" s="101">
        <v>0</v>
      </c>
      <c r="J57" s="101">
        <f t="shared" si="6"/>
        <v>0</v>
      </c>
      <c r="K57" s="100">
        <f t="shared" si="7"/>
        <v>0</v>
      </c>
      <c r="L57" s="112"/>
    </row>
    <row r="58" spans="2:12" s="98" customFormat="1" ht="15.75" x14ac:dyDescent="0.2">
      <c r="B58" s="99">
        <v>4.5</v>
      </c>
      <c r="C58" s="50" t="s">
        <v>69</v>
      </c>
      <c r="D58" s="101">
        <v>0</v>
      </c>
      <c r="E58" s="101"/>
      <c r="F58" s="101">
        <v>0</v>
      </c>
      <c r="G58" s="101"/>
      <c r="H58" s="101">
        <v>0</v>
      </c>
      <c r="I58" s="101">
        <v>0</v>
      </c>
      <c r="J58" s="101">
        <f t="shared" si="6"/>
        <v>0</v>
      </c>
      <c r="K58" s="100">
        <f t="shared" si="7"/>
        <v>0</v>
      </c>
      <c r="L58" s="112"/>
    </row>
    <row r="59" spans="2:12" s="98" customFormat="1" ht="15.75" x14ac:dyDescent="0.2">
      <c r="B59" s="99">
        <v>4.5999999999999996</v>
      </c>
      <c r="C59" s="50" t="s">
        <v>70</v>
      </c>
      <c r="D59" s="101">
        <v>0</v>
      </c>
      <c r="E59" s="101"/>
      <c r="F59" s="101">
        <v>0</v>
      </c>
      <c r="G59" s="101"/>
      <c r="H59" s="101">
        <v>0</v>
      </c>
      <c r="I59" s="101">
        <f t="shared" ref="I59" si="8">D59*0.19</f>
        <v>0</v>
      </c>
      <c r="J59" s="101">
        <f t="shared" si="6"/>
        <v>0</v>
      </c>
      <c r="K59" s="100">
        <f t="shared" si="7"/>
        <v>0</v>
      </c>
      <c r="L59" s="112"/>
    </row>
    <row r="60" spans="2:12" s="127" customFormat="1" ht="15.75" x14ac:dyDescent="0.2">
      <c r="B60" s="171" t="s">
        <v>71</v>
      </c>
      <c r="C60" s="172"/>
      <c r="D60" s="152">
        <f>D48+D53+D55+D57+D58+D59</f>
        <v>2010405.81</v>
      </c>
      <c r="E60" s="109"/>
      <c r="F60" s="110">
        <v>0</v>
      </c>
      <c r="G60" s="110"/>
      <c r="H60" s="110">
        <f>H48+H53+H55+H57+H58+H59</f>
        <v>2723850.73</v>
      </c>
      <c r="I60" s="110">
        <v>0</v>
      </c>
      <c r="J60" s="110">
        <f t="shared" si="6"/>
        <v>422185.22009999998</v>
      </c>
      <c r="K60" s="109">
        <f t="shared" si="7"/>
        <v>2432591.0301000001</v>
      </c>
      <c r="L60" s="111"/>
    </row>
    <row r="61" spans="2:12" ht="15.75" x14ac:dyDescent="0.2">
      <c r="B61" s="164" t="s">
        <v>104</v>
      </c>
      <c r="C61" s="165"/>
      <c r="D61" s="165"/>
      <c r="E61" s="165"/>
      <c r="F61" s="165"/>
      <c r="G61" s="165"/>
      <c r="H61" s="165"/>
      <c r="I61" s="165"/>
      <c r="J61" s="165"/>
      <c r="K61" s="165"/>
      <c r="L61" s="166"/>
    </row>
    <row r="62" spans="2:12" ht="15.75" x14ac:dyDescent="0.2">
      <c r="B62" s="15">
        <v>5.0999999999999996</v>
      </c>
      <c r="C62" s="16" t="s">
        <v>72</v>
      </c>
      <c r="D62" s="31">
        <v>0</v>
      </c>
      <c r="E62" s="31"/>
      <c r="F62" s="17">
        <v>0</v>
      </c>
      <c r="G62" s="17"/>
      <c r="H62" s="17">
        <v>60000</v>
      </c>
      <c r="I62" s="17">
        <f>D62*0.21</f>
        <v>0</v>
      </c>
      <c r="J62" s="17">
        <v>0</v>
      </c>
      <c r="K62" s="31">
        <f t="shared" ref="K62:K72" si="9">D62+F62+I62</f>
        <v>0</v>
      </c>
      <c r="L62" s="35"/>
    </row>
    <row r="63" spans="2:12" ht="31.5" x14ac:dyDescent="0.2">
      <c r="B63" s="19" t="s">
        <v>73</v>
      </c>
      <c r="C63" s="16" t="s">
        <v>74</v>
      </c>
      <c r="D63" s="31">
        <v>0</v>
      </c>
      <c r="E63" s="31"/>
      <c r="F63" s="17">
        <v>0</v>
      </c>
      <c r="G63" s="17"/>
      <c r="H63" s="17">
        <v>50000</v>
      </c>
      <c r="I63" s="17">
        <f>D63*0.21</f>
        <v>0</v>
      </c>
      <c r="J63" s="17">
        <v>0</v>
      </c>
      <c r="K63" s="31">
        <f t="shared" si="9"/>
        <v>0</v>
      </c>
      <c r="L63" s="35"/>
    </row>
    <row r="64" spans="2:12" ht="15.75" x14ac:dyDescent="0.2">
      <c r="B64" s="25" t="s">
        <v>75</v>
      </c>
      <c r="C64" s="21" t="s">
        <v>76</v>
      </c>
      <c r="D64" s="36">
        <v>0</v>
      </c>
      <c r="E64" s="36"/>
      <c r="F64" s="17">
        <v>0</v>
      </c>
      <c r="G64" s="22"/>
      <c r="H64" s="23">
        <v>10000</v>
      </c>
      <c r="I64" s="17">
        <f>D64*0.21</f>
        <v>0</v>
      </c>
      <c r="J64" s="17">
        <v>0</v>
      </c>
      <c r="K64" s="31">
        <f t="shared" si="9"/>
        <v>0</v>
      </c>
      <c r="L64" s="37"/>
    </row>
    <row r="65" spans="1:15" s="98" customFormat="1" ht="15.75" x14ac:dyDescent="0.2">
      <c r="B65" s="99">
        <v>5.2</v>
      </c>
      <c r="C65" s="50" t="s">
        <v>77</v>
      </c>
      <c r="D65" s="100">
        <f>D66+D67+D68+D69+D70</f>
        <v>21938.463910000002</v>
      </c>
      <c r="E65" s="100"/>
      <c r="F65" s="101">
        <v>0</v>
      </c>
      <c r="G65" s="101"/>
      <c r="H65" s="101">
        <v>26977.06</v>
      </c>
      <c r="I65" s="101">
        <f>I66+I67+I68+I69+I70</f>
        <v>0</v>
      </c>
      <c r="J65" s="101">
        <v>0</v>
      </c>
      <c r="K65" s="100">
        <f t="shared" si="9"/>
        <v>21938.463910000002</v>
      </c>
      <c r="L65" s="102"/>
    </row>
    <row r="66" spans="1:15" ht="31.5" x14ac:dyDescent="0.2">
      <c r="A66" s="98"/>
      <c r="B66" s="113" t="s">
        <v>78</v>
      </c>
      <c r="C66" s="50" t="s">
        <v>79</v>
      </c>
      <c r="D66" s="101">
        <v>0</v>
      </c>
      <c r="E66" s="101"/>
      <c r="F66" s="101">
        <v>0</v>
      </c>
      <c r="G66" s="101"/>
      <c r="H66" s="101">
        <v>0</v>
      </c>
      <c r="I66" s="101">
        <f>D66*0.21</f>
        <v>0</v>
      </c>
      <c r="J66" s="101">
        <v>0</v>
      </c>
      <c r="K66" s="100">
        <f t="shared" si="9"/>
        <v>0</v>
      </c>
      <c r="L66" s="112"/>
      <c r="M66" s="98"/>
    </row>
    <row r="67" spans="1:15" ht="31.5" x14ac:dyDescent="0.2">
      <c r="A67" s="98"/>
      <c r="B67" s="113" t="s">
        <v>80</v>
      </c>
      <c r="C67" s="50" t="s">
        <v>81</v>
      </c>
      <c r="D67" s="100">
        <f>D85*0.005</f>
        <v>9972.029050000001</v>
      </c>
      <c r="E67" s="100"/>
      <c r="F67" s="101">
        <v>0</v>
      </c>
      <c r="G67" s="101"/>
      <c r="H67" s="101">
        <v>12262.3</v>
      </c>
      <c r="I67" s="101">
        <v>0</v>
      </c>
      <c r="J67" s="101">
        <v>0</v>
      </c>
      <c r="K67" s="100">
        <f t="shared" si="9"/>
        <v>9972.029050000001</v>
      </c>
      <c r="L67" s="102"/>
      <c r="M67" s="98"/>
    </row>
    <row r="68" spans="1:15" ht="47.25" x14ac:dyDescent="0.2">
      <c r="A68" s="98"/>
      <c r="B68" s="113" t="s">
        <v>82</v>
      </c>
      <c r="C68" s="50" t="s">
        <v>83</v>
      </c>
      <c r="D68" s="100">
        <f>D85*0.001</f>
        <v>1994.4058100000002</v>
      </c>
      <c r="E68" s="101"/>
      <c r="F68" s="101">
        <v>0</v>
      </c>
      <c r="G68" s="101"/>
      <c r="H68" s="101">
        <v>2452.46</v>
      </c>
      <c r="I68" s="101">
        <v>0</v>
      </c>
      <c r="J68" s="101">
        <v>0</v>
      </c>
      <c r="K68" s="100">
        <f t="shared" si="9"/>
        <v>1994.4058100000002</v>
      </c>
      <c r="L68" s="112"/>
      <c r="M68" s="98"/>
    </row>
    <row r="69" spans="1:15" ht="31.5" x14ac:dyDescent="0.2">
      <c r="A69" s="98"/>
      <c r="B69" s="113" t="s">
        <v>84</v>
      </c>
      <c r="C69" s="50" t="s">
        <v>85</v>
      </c>
      <c r="D69" s="100">
        <f>D85*0.005</f>
        <v>9972.029050000001</v>
      </c>
      <c r="E69" s="100"/>
      <c r="F69" s="101">
        <v>0</v>
      </c>
      <c r="G69" s="101"/>
      <c r="H69" s="101">
        <v>12262.3</v>
      </c>
      <c r="I69" s="101">
        <v>0</v>
      </c>
      <c r="J69" s="101">
        <v>0</v>
      </c>
      <c r="K69" s="100">
        <f t="shared" si="9"/>
        <v>9972.029050000001</v>
      </c>
      <c r="L69" s="102"/>
      <c r="M69" s="98"/>
    </row>
    <row r="70" spans="1:15" ht="31.5" x14ac:dyDescent="0.2">
      <c r="A70" s="98"/>
      <c r="B70" s="113" t="s">
        <v>86</v>
      </c>
      <c r="C70" s="50" t="s">
        <v>87</v>
      </c>
      <c r="D70" s="101">
        <v>0</v>
      </c>
      <c r="E70" s="101"/>
      <c r="F70" s="101">
        <v>0</v>
      </c>
      <c r="G70" s="101"/>
      <c r="H70" s="101">
        <v>0</v>
      </c>
      <c r="I70" s="101">
        <f>D70*0.21</f>
        <v>0</v>
      </c>
      <c r="J70" s="101">
        <v>0</v>
      </c>
      <c r="K70" s="100">
        <f t="shared" si="9"/>
        <v>0</v>
      </c>
      <c r="L70" s="112"/>
      <c r="M70" s="98"/>
      <c r="N70" s="98"/>
      <c r="O70" s="98"/>
    </row>
    <row r="71" spans="1:15" ht="15.75" x14ac:dyDescent="0.2">
      <c r="A71" s="98"/>
      <c r="B71" s="99">
        <v>5.3</v>
      </c>
      <c r="C71" s="50" t="s">
        <v>88</v>
      </c>
      <c r="D71" s="100">
        <v>301798.12</v>
      </c>
      <c r="E71" s="100"/>
      <c r="F71" s="101">
        <v>0</v>
      </c>
      <c r="G71" s="101"/>
      <c r="H71" s="101">
        <v>242302.81</v>
      </c>
      <c r="I71" s="101">
        <v>0</v>
      </c>
      <c r="J71" s="101">
        <f>D71*0.21</f>
        <v>63377.605199999998</v>
      </c>
      <c r="K71" s="100">
        <f>J71+D71</f>
        <v>365175.72519999999</v>
      </c>
      <c r="L71" s="102"/>
      <c r="M71" s="98"/>
      <c r="N71" s="98"/>
      <c r="O71" s="98"/>
    </row>
    <row r="72" spans="1:15" ht="15.75" x14ac:dyDescent="0.2">
      <c r="A72" s="98"/>
      <c r="B72" s="99">
        <v>5.4</v>
      </c>
      <c r="C72" s="50" t="s">
        <v>89</v>
      </c>
      <c r="D72" s="100">
        <v>2000</v>
      </c>
      <c r="E72" s="101"/>
      <c r="F72" s="101">
        <v>0</v>
      </c>
      <c r="G72" s="101"/>
      <c r="H72" s="101">
        <v>2000</v>
      </c>
      <c r="I72" s="101">
        <f>I73+J74</f>
        <v>416.47899999999998</v>
      </c>
      <c r="J72" s="101">
        <v>0</v>
      </c>
      <c r="K72" s="100">
        <f t="shared" si="9"/>
        <v>2416.4789999999998</v>
      </c>
      <c r="L72" s="112"/>
      <c r="M72" s="98"/>
      <c r="N72" s="98"/>
      <c r="O72" s="98"/>
    </row>
    <row r="73" spans="1:15" ht="31.5" x14ac:dyDescent="0.2">
      <c r="A73" s="98"/>
      <c r="B73" s="153" t="s">
        <v>115</v>
      </c>
      <c r="C73" s="50" t="s">
        <v>117</v>
      </c>
      <c r="D73" s="100">
        <v>176.05</v>
      </c>
      <c r="E73" s="101"/>
      <c r="F73" s="101">
        <v>0</v>
      </c>
      <c r="G73" s="101"/>
      <c r="H73" s="101"/>
      <c r="I73" s="101">
        <f>D73*0.19</f>
        <v>33.4495</v>
      </c>
      <c r="J73" s="101">
        <v>0</v>
      </c>
      <c r="K73" s="100">
        <f>I73+D73</f>
        <v>209.49950000000001</v>
      </c>
      <c r="L73" s="112"/>
      <c r="M73" s="98"/>
      <c r="N73" s="98"/>
      <c r="O73" s="98"/>
    </row>
    <row r="74" spans="1:15" ht="31.5" x14ac:dyDescent="0.2">
      <c r="A74" s="98"/>
      <c r="B74" s="153" t="s">
        <v>116</v>
      </c>
      <c r="C74" s="50" t="s">
        <v>121</v>
      </c>
      <c r="D74" s="100">
        <v>1823.95</v>
      </c>
      <c r="E74" s="101"/>
      <c r="F74" s="101">
        <v>0</v>
      </c>
      <c r="G74" s="101"/>
      <c r="H74" s="101"/>
      <c r="I74" s="101">
        <v>0</v>
      </c>
      <c r="J74" s="101">
        <f>D74*0.21</f>
        <v>383.02949999999998</v>
      </c>
      <c r="K74" s="100">
        <f>J74+D74</f>
        <v>2206.9794999999999</v>
      </c>
      <c r="L74" s="112"/>
      <c r="M74" s="98"/>
      <c r="N74" s="98"/>
      <c r="O74" s="98"/>
    </row>
    <row r="75" spans="1:15" s="127" customFormat="1" ht="15.75" x14ac:dyDescent="0.2">
      <c r="B75" s="171" t="s">
        <v>90</v>
      </c>
      <c r="C75" s="172"/>
      <c r="D75" s="109">
        <f>D62+D65+D71+D72</f>
        <v>325736.58390999999</v>
      </c>
      <c r="E75" s="109"/>
      <c r="F75" s="110">
        <v>0</v>
      </c>
      <c r="G75" s="110"/>
      <c r="H75" s="110">
        <f>H62+H65+H71+H72</f>
        <v>331279.87</v>
      </c>
      <c r="I75" s="110">
        <f>I73</f>
        <v>33.4495</v>
      </c>
      <c r="J75" s="110">
        <f>J74+J71</f>
        <v>63760.634699999995</v>
      </c>
      <c r="K75" s="109">
        <f>+K65+K72+K71</f>
        <v>389530.66810999997</v>
      </c>
      <c r="L75" s="111"/>
    </row>
    <row r="76" spans="1:15" ht="15.75" x14ac:dyDescent="0.2">
      <c r="A76" s="98"/>
      <c r="B76" s="192" t="s">
        <v>110</v>
      </c>
      <c r="C76" s="193"/>
      <c r="D76" s="193"/>
      <c r="E76" s="193"/>
      <c r="F76" s="193"/>
      <c r="G76" s="193"/>
      <c r="H76" s="193"/>
      <c r="I76" s="193"/>
      <c r="J76" s="193"/>
      <c r="K76" s="193"/>
      <c r="L76" s="194"/>
      <c r="M76" s="98"/>
      <c r="N76" s="98"/>
      <c r="O76" s="98"/>
    </row>
    <row r="77" spans="1:15" ht="15.75" x14ac:dyDescent="0.2">
      <c r="A77" s="98"/>
      <c r="B77" s="99">
        <v>6.1</v>
      </c>
      <c r="C77" s="50" t="s">
        <v>91</v>
      </c>
      <c r="D77" s="101">
        <v>0</v>
      </c>
      <c r="E77" s="101">
        <v>0</v>
      </c>
      <c r="F77" s="101">
        <v>0</v>
      </c>
      <c r="G77" s="101">
        <v>0</v>
      </c>
      <c r="H77" s="101"/>
      <c r="I77" s="101">
        <v>0</v>
      </c>
      <c r="J77" s="101">
        <v>0</v>
      </c>
      <c r="K77" s="101">
        <v>0</v>
      </c>
      <c r="L77" s="112">
        <v>0</v>
      </c>
      <c r="M77" s="98"/>
      <c r="N77" s="98"/>
      <c r="O77" s="98"/>
    </row>
    <row r="78" spans="1:15" ht="15.75" x14ac:dyDescent="0.2">
      <c r="A78" s="98"/>
      <c r="B78" s="99">
        <v>6.2</v>
      </c>
      <c r="C78" s="50" t="s">
        <v>92</v>
      </c>
      <c r="D78" s="101">
        <v>0</v>
      </c>
      <c r="E78" s="101">
        <v>0</v>
      </c>
      <c r="F78" s="101">
        <v>0</v>
      </c>
      <c r="G78" s="101">
        <v>0</v>
      </c>
      <c r="H78" s="101"/>
      <c r="I78" s="101">
        <v>0</v>
      </c>
      <c r="J78" s="101">
        <v>0</v>
      </c>
      <c r="K78" s="101">
        <v>0</v>
      </c>
      <c r="L78" s="112">
        <v>0</v>
      </c>
      <c r="M78" s="98"/>
      <c r="N78" s="98"/>
      <c r="O78" s="98"/>
    </row>
    <row r="79" spans="1:15" ht="15.75" x14ac:dyDescent="0.2">
      <c r="A79" s="98"/>
      <c r="B79" s="171" t="s">
        <v>93</v>
      </c>
      <c r="C79" s="172"/>
      <c r="D79" s="110">
        <v>0</v>
      </c>
      <c r="E79" s="110">
        <v>0</v>
      </c>
      <c r="F79" s="110">
        <v>0</v>
      </c>
      <c r="G79" s="110">
        <v>0</v>
      </c>
      <c r="H79" s="110"/>
      <c r="I79" s="110">
        <v>0</v>
      </c>
      <c r="J79" s="110">
        <v>0</v>
      </c>
      <c r="K79" s="110">
        <v>0</v>
      </c>
      <c r="L79" s="120">
        <v>0</v>
      </c>
      <c r="M79" s="98"/>
      <c r="N79" s="98"/>
      <c r="O79" s="98"/>
    </row>
    <row r="80" spans="1:15" ht="15.75" x14ac:dyDescent="0.2">
      <c r="A80" s="98"/>
      <c r="B80" s="192" t="s">
        <v>111</v>
      </c>
      <c r="C80" s="193"/>
      <c r="D80" s="193"/>
      <c r="E80" s="193"/>
      <c r="F80" s="193"/>
      <c r="G80" s="193"/>
      <c r="H80" s="193"/>
      <c r="I80" s="193"/>
      <c r="J80" s="193"/>
      <c r="K80" s="193"/>
      <c r="L80" s="194"/>
      <c r="M80" s="98"/>
      <c r="N80" s="98"/>
      <c r="O80" s="98"/>
    </row>
    <row r="81" spans="1:15" ht="15.75" x14ac:dyDescent="0.2">
      <c r="A81" s="98"/>
      <c r="B81" s="99">
        <v>7.1</v>
      </c>
      <c r="C81" s="50" t="s">
        <v>94</v>
      </c>
      <c r="D81" s="101">
        <v>0</v>
      </c>
      <c r="E81" s="101">
        <v>0</v>
      </c>
      <c r="F81" s="100">
        <v>0</v>
      </c>
      <c r="G81" s="100">
        <v>60758.96</v>
      </c>
      <c r="H81" s="100">
        <v>60758.96</v>
      </c>
      <c r="I81" s="101">
        <v>0</v>
      </c>
      <c r="J81" s="101">
        <v>0</v>
      </c>
      <c r="K81" s="100">
        <f t="shared" ref="K81" si="10">D81+F81+I81</f>
        <v>0</v>
      </c>
      <c r="L81" s="102"/>
      <c r="M81" s="98"/>
      <c r="N81" s="98"/>
      <c r="O81" s="98"/>
    </row>
    <row r="82" spans="1:15" ht="31.5" x14ac:dyDescent="0.2">
      <c r="A82" s="98"/>
      <c r="B82" s="99">
        <v>7.2</v>
      </c>
      <c r="C82" s="50" t="s">
        <v>95</v>
      </c>
      <c r="D82" s="101">
        <v>0</v>
      </c>
      <c r="E82" s="101">
        <v>0</v>
      </c>
      <c r="F82" s="100">
        <v>137992.24</v>
      </c>
      <c r="G82" s="100">
        <v>88900.28</v>
      </c>
      <c r="H82" s="100">
        <v>88900.28</v>
      </c>
      <c r="I82" s="101">
        <v>0</v>
      </c>
      <c r="J82" s="101">
        <f>F82*0.21</f>
        <v>28978.370399999996</v>
      </c>
      <c r="K82" s="100">
        <f>D82+F82+I82+J82</f>
        <v>166970.61039999998</v>
      </c>
      <c r="L82" s="102"/>
      <c r="M82" s="98"/>
      <c r="N82" s="98"/>
      <c r="O82" s="98"/>
    </row>
    <row r="83" spans="1:15" ht="15.75" x14ac:dyDescent="0.2">
      <c r="A83" s="98"/>
      <c r="B83" s="171" t="s">
        <v>96</v>
      </c>
      <c r="C83" s="172"/>
      <c r="D83" s="110">
        <f>D81+D82</f>
        <v>0</v>
      </c>
      <c r="E83" s="110">
        <v>0</v>
      </c>
      <c r="F83" s="110">
        <f>F81+F82</f>
        <v>137992.24</v>
      </c>
      <c r="G83" s="110">
        <f t="shared" ref="G83:H83" si="11">G81+G82</f>
        <v>149659.24</v>
      </c>
      <c r="H83" s="110">
        <f t="shared" si="11"/>
        <v>149659.24</v>
      </c>
      <c r="I83" s="110">
        <f>I81+I82</f>
        <v>0</v>
      </c>
      <c r="J83" s="101">
        <f>F83*0.21</f>
        <v>28978.370399999996</v>
      </c>
      <c r="K83" s="100">
        <f>D83+F83+I83+J83</f>
        <v>166970.61039999998</v>
      </c>
      <c r="L83" s="111"/>
      <c r="M83" s="98"/>
      <c r="N83" s="98"/>
      <c r="O83" s="98"/>
    </row>
    <row r="84" spans="1:15" ht="15.75" x14ac:dyDescent="0.2">
      <c r="A84" s="98"/>
      <c r="B84" s="169" t="s">
        <v>98</v>
      </c>
      <c r="C84" s="170"/>
      <c r="D84" s="92">
        <f>D15+D18+D46+D60+D75+D79+D83</f>
        <v>2416565.7505766666</v>
      </c>
      <c r="E84" s="92">
        <f>E15+E18+E46+E60+E75+E79+E83</f>
        <v>0</v>
      </c>
      <c r="F84" s="92">
        <f>F15+F18+F46+F60+F75+F79+F83</f>
        <v>148825.56999999998</v>
      </c>
      <c r="G84" s="92">
        <f>G15+G18+G46+G60+G75+G79+G83</f>
        <v>149659.24</v>
      </c>
      <c r="H84" s="92">
        <f>H15+H18+H46+H60+H75+H79+H83</f>
        <v>3296604.0200000005</v>
      </c>
      <c r="I84" s="92">
        <f>I15+I18+I46+I60+I75+I79+I83</f>
        <v>11037.300766666664</v>
      </c>
      <c r="J84" s="92">
        <f>J83+J75+J60+J46</f>
        <v>521925.978</v>
      </c>
      <c r="K84" s="121">
        <f>D84+F84+I84+J84</f>
        <v>3098354.5993433334</v>
      </c>
      <c r="L84" s="122"/>
      <c r="M84" s="98"/>
      <c r="N84" s="98"/>
      <c r="O84" s="98"/>
    </row>
    <row r="85" spans="1:15" ht="15.75" x14ac:dyDescent="0.2">
      <c r="A85" s="98"/>
      <c r="B85" s="171" t="s">
        <v>97</v>
      </c>
      <c r="C85" s="172"/>
      <c r="D85" s="110">
        <f>D15+D18+D48+D53+D63</f>
        <v>1994405.81</v>
      </c>
      <c r="E85" s="110">
        <f>E15+E18+E48+E53+E63</f>
        <v>0</v>
      </c>
      <c r="F85" s="110">
        <f>F15+F18+F48+F53+F63</f>
        <v>0</v>
      </c>
      <c r="G85" s="110">
        <f>G15+G18+G48+G53+G63</f>
        <v>0</v>
      </c>
      <c r="H85" s="110">
        <f>H15+H18+H48+H53+H63</f>
        <v>2698850.73</v>
      </c>
      <c r="I85" s="110">
        <v>0</v>
      </c>
      <c r="J85" s="110">
        <f>D85*0.21</f>
        <v>418825.22009999998</v>
      </c>
      <c r="K85" s="110">
        <f>D85+F85+I85+J85</f>
        <v>2413231.0301000001</v>
      </c>
      <c r="L85" s="111"/>
      <c r="M85" s="98"/>
      <c r="N85" s="98"/>
      <c r="O85" s="98"/>
    </row>
    <row r="86" spans="1:15" x14ac:dyDescent="0.2">
      <c r="A86" s="98"/>
      <c r="B86" s="3"/>
      <c r="C86" s="3"/>
      <c r="D86" s="123"/>
      <c r="E86" s="123"/>
      <c r="F86" s="123"/>
      <c r="G86" s="123"/>
      <c r="H86" s="123"/>
      <c r="I86" s="123"/>
      <c r="J86" s="123"/>
      <c r="K86" s="123"/>
      <c r="L86" s="124"/>
      <c r="M86" s="98"/>
      <c r="N86" s="98"/>
      <c r="O86" s="98"/>
    </row>
    <row r="87" spans="1:15" x14ac:dyDescent="0.2">
      <c r="A87" s="98"/>
      <c r="B87" s="3"/>
      <c r="C87" s="3"/>
      <c r="D87" s="123"/>
      <c r="E87" s="123"/>
      <c r="F87" s="123"/>
      <c r="G87" s="123"/>
      <c r="H87" s="123"/>
      <c r="I87" s="123"/>
      <c r="J87" s="123"/>
      <c r="K87" s="123"/>
      <c r="L87" s="124"/>
      <c r="M87" s="98"/>
      <c r="N87" s="98"/>
      <c r="O87" s="98"/>
    </row>
    <row r="88" spans="1:15" x14ac:dyDescent="0.2">
      <c r="A88" s="98"/>
      <c r="B88" s="3"/>
      <c r="C88" s="3"/>
      <c r="D88" s="123"/>
      <c r="E88" s="123"/>
      <c r="F88" s="123"/>
      <c r="G88" s="123"/>
      <c r="H88" s="123"/>
      <c r="I88" s="123"/>
      <c r="J88" s="123"/>
      <c r="K88" s="123"/>
      <c r="L88" s="124"/>
      <c r="M88" s="98"/>
      <c r="N88" s="98"/>
      <c r="O88" s="98"/>
    </row>
    <row r="89" spans="1:15" s="86" customFormat="1" ht="15.75" x14ac:dyDescent="0.25">
      <c r="A89" s="125"/>
      <c r="B89" s="173"/>
      <c r="C89" s="173"/>
      <c r="D89" s="173"/>
      <c r="E89" s="173"/>
      <c r="F89" s="173"/>
      <c r="G89" s="173"/>
      <c r="H89" s="173"/>
      <c r="I89" s="173"/>
      <c r="J89" s="173"/>
      <c r="K89" s="173"/>
      <c r="L89" s="173"/>
      <c r="M89" s="125"/>
      <c r="N89" s="125"/>
      <c r="O89" s="125"/>
    </row>
    <row r="90" spans="1:15" ht="15.75" x14ac:dyDescent="0.25">
      <c r="A90" s="98"/>
      <c r="B90" s="98"/>
      <c r="C90" s="163" t="s">
        <v>148</v>
      </c>
      <c r="D90" s="205"/>
      <c r="E90" s="205"/>
      <c r="F90" s="205"/>
      <c r="G90" s="205"/>
      <c r="H90" s="205"/>
      <c r="I90" s="205" t="s">
        <v>134</v>
      </c>
      <c r="J90" s="205"/>
      <c r="K90" s="98"/>
      <c r="L90" s="98"/>
      <c r="M90" s="98"/>
      <c r="N90" s="98"/>
      <c r="O90" s="98"/>
    </row>
    <row r="91" spans="1:15" ht="15.75" x14ac:dyDescent="0.2">
      <c r="A91" s="98"/>
      <c r="B91" s="98"/>
      <c r="C91" s="207" t="s">
        <v>147</v>
      </c>
      <c r="D91" s="85"/>
      <c r="E91" s="85"/>
      <c r="F91" s="208" t="s">
        <v>149</v>
      </c>
      <c r="G91" s="208"/>
      <c r="H91" s="208"/>
      <c r="I91" s="208"/>
      <c r="J91" s="208"/>
      <c r="K91" s="98"/>
      <c r="L91" s="98"/>
      <c r="M91" s="98"/>
      <c r="N91" s="98"/>
      <c r="O91" s="98"/>
    </row>
    <row r="93" spans="1:15" x14ac:dyDescent="0.2">
      <c r="D93" s="1"/>
    </row>
  </sheetData>
  <mergeCells count="25">
    <mergeCell ref="F91:J91"/>
    <mergeCell ref="B5:L5"/>
    <mergeCell ref="B6:B7"/>
    <mergeCell ref="C6:C7"/>
    <mergeCell ref="D6:E6"/>
    <mergeCell ref="F6:G6"/>
    <mergeCell ref="K6:L6"/>
    <mergeCell ref="I6:J6"/>
    <mergeCell ref="B79:C79"/>
    <mergeCell ref="B10:L10"/>
    <mergeCell ref="B15:C15"/>
    <mergeCell ref="B17:L17"/>
    <mergeCell ref="B18:C18"/>
    <mergeCell ref="B19:L19"/>
    <mergeCell ref="B46:C46"/>
    <mergeCell ref="B47:L47"/>
    <mergeCell ref="B60:C60"/>
    <mergeCell ref="B61:L61"/>
    <mergeCell ref="B75:C75"/>
    <mergeCell ref="B76:L76"/>
    <mergeCell ref="B80:L80"/>
    <mergeCell ref="B83:C83"/>
    <mergeCell ref="B84:C84"/>
    <mergeCell ref="B85:C85"/>
    <mergeCell ref="B89:L8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A609D-7417-496C-9103-AC369F47CCE6}">
  <sheetPr>
    <tabColor rgb="FF92D050"/>
  </sheetPr>
  <dimension ref="A3:M93"/>
  <sheetViews>
    <sheetView workbookViewId="0">
      <selection activeCell="C90" sqref="C90:J91"/>
    </sheetView>
  </sheetViews>
  <sheetFormatPr defaultRowHeight="12.75" x14ac:dyDescent="0.2"/>
  <cols>
    <col min="3" max="3" width="52.83203125" customWidth="1"/>
    <col min="4" max="4" width="18.1640625" customWidth="1"/>
    <col min="5" max="5" width="0" hidden="1" customWidth="1"/>
    <col min="6" max="6" width="17.1640625" customWidth="1"/>
    <col min="7" max="8" width="0" hidden="1" customWidth="1"/>
    <col min="9" max="10" width="14.83203125" customWidth="1"/>
    <col min="11" max="11" width="17.83203125" customWidth="1"/>
    <col min="12" max="12" width="0" hidden="1" customWidth="1"/>
  </cols>
  <sheetData>
    <row r="3" spans="2:12" ht="15.75" x14ac:dyDescent="0.2"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2:12" ht="15.75" x14ac:dyDescent="0.2"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</row>
    <row r="5" spans="2:12" ht="96" customHeight="1" x14ac:dyDescent="0.2">
      <c r="B5" s="203" t="s">
        <v>144</v>
      </c>
      <c r="C5" s="204"/>
      <c r="D5" s="204"/>
      <c r="E5" s="204"/>
      <c r="F5" s="204"/>
      <c r="G5" s="204"/>
      <c r="H5" s="204"/>
      <c r="I5" s="204"/>
      <c r="J5" s="204"/>
      <c r="K5" s="204"/>
      <c r="L5" s="204"/>
    </row>
    <row r="6" spans="2:12" ht="78.75" x14ac:dyDescent="0.2">
      <c r="B6" s="177" t="s">
        <v>0</v>
      </c>
      <c r="C6" s="179" t="s">
        <v>1</v>
      </c>
      <c r="D6" s="181" t="s">
        <v>2</v>
      </c>
      <c r="E6" s="182"/>
      <c r="F6" s="181" t="s">
        <v>3</v>
      </c>
      <c r="G6" s="182"/>
      <c r="H6" s="129" t="s">
        <v>100</v>
      </c>
      <c r="I6" s="183" t="s">
        <v>4</v>
      </c>
      <c r="J6" s="183"/>
      <c r="K6" s="183" t="s">
        <v>5</v>
      </c>
      <c r="L6" s="183"/>
    </row>
    <row r="7" spans="2:12" ht="15.75" x14ac:dyDescent="0.2">
      <c r="B7" s="178"/>
      <c r="C7" s="180"/>
      <c r="D7" s="44" t="s">
        <v>6</v>
      </c>
      <c r="E7" s="44" t="s">
        <v>7</v>
      </c>
      <c r="F7" s="44" t="s">
        <v>6</v>
      </c>
      <c r="G7" s="44" t="s">
        <v>7</v>
      </c>
      <c r="H7" s="44" t="s">
        <v>6</v>
      </c>
      <c r="I7" s="135" t="s">
        <v>126</v>
      </c>
      <c r="J7" s="136" t="s">
        <v>124</v>
      </c>
      <c r="K7" s="132" t="s">
        <v>6</v>
      </c>
      <c r="L7" s="84" t="s">
        <v>7</v>
      </c>
    </row>
    <row r="8" spans="2:12" ht="15.75" x14ac:dyDescent="0.2">
      <c r="B8" s="45">
        <v>1</v>
      </c>
      <c r="C8" s="46">
        <v>2</v>
      </c>
      <c r="D8" s="46">
        <v>3</v>
      </c>
      <c r="E8" s="46">
        <v>4</v>
      </c>
      <c r="F8" s="46">
        <v>4</v>
      </c>
      <c r="G8" s="46">
        <v>6</v>
      </c>
      <c r="H8" s="46">
        <v>5</v>
      </c>
      <c r="I8" s="137">
        <v>5</v>
      </c>
      <c r="J8" s="139">
        <v>6</v>
      </c>
      <c r="K8" s="138">
        <v>7</v>
      </c>
      <c r="L8" s="47">
        <v>9</v>
      </c>
    </row>
    <row r="9" spans="2:12" ht="15.75" x14ac:dyDescent="0.25">
      <c r="B9" s="48"/>
      <c r="C9" s="48"/>
      <c r="D9" s="48"/>
      <c r="E9" s="48"/>
      <c r="F9" s="48"/>
      <c r="G9" s="48"/>
      <c r="H9" s="48"/>
      <c r="I9" s="48"/>
      <c r="J9" s="142"/>
      <c r="K9" s="48"/>
      <c r="L9" s="48"/>
    </row>
    <row r="10" spans="2:12" ht="15.75" x14ac:dyDescent="0.2">
      <c r="B10" s="174" t="s">
        <v>107</v>
      </c>
      <c r="C10" s="175"/>
      <c r="D10" s="175"/>
      <c r="E10" s="175"/>
      <c r="F10" s="175"/>
      <c r="G10" s="175"/>
      <c r="H10" s="175"/>
      <c r="I10" s="175"/>
      <c r="J10" s="202"/>
      <c r="K10" s="175"/>
      <c r="L10" s="176"/>
    </row>
    <row r="11" spans="2:12" ht="15.75" x14ac:dyDescent="0.2">
      <c r="B11" s="49">
        <v>1.1000000000000001</v>
      </c>
      <c r="C11" s="50" t="s">
        <v>8</v>
      </c>
      <c r="D11" s="51">
        <v>0</v>
      </c>
      <c r="E11" s="51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2">
        <v>0</v>
      </c>
    </row>
    <row r="12" spans="2:12" ht="15.75" x14ac:dyDescent="0.2">
      <c r="B12" s="49">
        <v>1.2</v>
      </c>
      <c r="C12" s="50" t="s">
        <v>9</v>
      </c>
      <c r="D12" s="51">
        <v>0</v>
      </c>
      <c r="E12" s="51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2">
        <v>0</v>
      </c>
    </row>
    <row r="13" spans="2:12" ht="31.5" x14ac:dyDescent="0.2">
      <c r="B13" s="49">
        <v>1.3</v>
      </c>
      <c r="C13" s="50" t="s">
        <v>10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2">
        <v>0</v>
      </c>
    </row>
    <row r="14" spans="2:12" ht="15.75" x14ac:dyDescent="0.2">
      <c r="B14" s="49">
        <v>1.4</v>
      </c>
      <c r="C14" s="50" t="s">
        <v>11</v>
      </c>
      <c r="D14" s="51">
        <v>0</v>
      </c>
      <c r="E14" s="51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2">
        <v>0</v>
      </c>
    </row>
    <row r="15" spans="2:12" ht="15.75" x14ac:dyDescent="0.2">
      <c r="B15" s="171" t="s">
        <v>12</v>
      </c>
      <c r="C15" s="172"/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4">
        <v>0</v>
      </c>
    </row>
    <row r="16" spans="2:12" ht="15.75" x14ac:dyDescent="0.25"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</row>
    <row r="17" spans="2:12" ht="15.75" x14ac:dyDescent="0.2">
      <c r="B17" s="174" t="s">
        <v>102</v>
      </c>
      <c r="C17" s="175"/>
      <c r="D17" s="175"/>
      <c r="E17" s="175"/>
      <c r="F17" s="175"/>
      <c r="G17" s="175"/>
      <c r="H17" s="175"/>
      <c r="I17" s="175"/>
      <c r="J17" s="175"/>
      <c r="K17" s="175"/>
      <c r="L17" s="176"/>
    </row>
    <row r="18" spans="2:12" ht="15.75" x14ac:dyDescent="0.2">
      <c r="B18" s="171" t="s">
        <v>13</v>
      </c>
      <c r="C18" s="172"/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4">
        <v>0</v>
      </c>
    </row>
    <row r="19" spans="2:12" ht="15.75" customHeight="1" x14ac:dyDescent="0.2">
      <c r="B19" s="189" t="s">
        <v>130</v>
      </c>
      <c r="C19" s="190"/>
      <c r="D19" s="190"/>
      <c r="E19" s="190"/>
      <c r="F19" s="190"/>
      <c r="G19" s="190"/>
      <c r="H19" s="190"/>
      <c r="I19" s="190"/>
      <c r="J19" s="190"/>
      <c r="K19" s="190"/>
      <c r="L19" s="191"/>
    </row>
    <row r="20" spans="2:12" ht="15.75" x14ac:dyDescent="0.2">
      <c r="B20" s="15">
        <v>3.1</v>
      </c>
      <c r="C20" s="16" t="s">
        <v>14</v>
      </c>
      <c r="D20" s="17">
        <v>1666.67</v>
      </c>
      <c r="E20" s="17"/>
      <c r="F20" s="17">
        <v>0</v>
      </c>
      <c r="G20" s="17">
        <v>0</v>
      </c>
      <c r="H20" s="17">
        <v>1666.67</v>
      </c>
      <c r="I20" s="17">
        <f t="shared" ref="I20:I25" si="0">D20*0.19</f>
        <v>316.66730000000001</v>
      </c>
      <c r="J20" s="17">
        <v>0</v>
      </c>
      <c r="K20" s="17">
        <f t="shared" ref="K20:K25" si="1">D20+F20+I20</f>
        <v>1983.3373000000001</v>
      </c>
      <c r="L20" s="18"/>
    </row>
    <row r="21" spans="2:12" ht="15.75" x14ac:dyDescent="0.2">
      <c r="B21" s="19" t="s">
        <v>15</v>
      </c>
      <c r="C21" s="16" t="s">
        <v>16</v>
      </c>
      <c r="D21" s="17">
        <v>1666.67</v>
      </c>
      <c r="E21" s="17"/>
      <c r="F21" s="17">
        <v>0</v>
      </c>
      <c r="G21" s="17">
        <v>0</v>
      </c>
      <c r="H21" s="17">
        <v>1666.67</v>
      </c>
      <c r="I21" s="17">
        <f t="shared" si="0"/>
        <v>316.66730000000001</v>
      </c>
      <c r="J21" s="17">
        <v>0</v>
      </c>
      <c r="K21" s="17">
        <f t="shared" si="1"/>
        <v>1983.3373000000001</v>
      </c>
      <c r="L21" s="18"/>
    </row>
    <row r="22" spans="2:12" ht="15.75" x14ac:dyDescent="0.2">
      <c r="B22" s="19" t="s">
        <v>17</v>
      </c>
      <c r="C22" s="16" t="s">
        <v>18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f t="shared" si="0"/>
        <v>0</v>
      </c>
      <c r="J22" s="17">
        <v>0</v>
      </c>
      <c r="K22" s="17">
        <f t="shared" si="1"/>
        <v>0</v>
      </c>
      <c r="L22" s="18">
        <v>0</v>
      </c>
    </row>
    <row r="23" spans="2:12" ht="15.75" x14ac:dyDescent="0.2">
      <c r="B23" s="19" t="s">
        <v>19</v>
      </c>
      <c r="C23" s="16" t="s">
        <v>20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f t="shared" si="0"/>
        <v>0</v>
      </c>
      <c r="J23" s="17">
        <v>0</v>
      </c>
      <c r="K23" s="17">
        <f t="shared" si="1"/>
        <v>0</v>
      </c>
      <c r="L23" s="18">
        <v>0</v>
      </c>
    </row>
    <row r="24" spans="2:12" ht="31.5" x14ac:dyDescent="0.2">
      <c r="B24" s="20">
        <v>3.2</v>
      </c>
      <c r="C24" s="21" t="s">
        <v>21</v>
      </c>
      <c r="D24" s="22">
        <v>166.66666666666666</v>
      </c>
      <c r="E24" s="22"/>
      <c r="F24" s="22">
        <v>0</v>
      </c>
      <c r="G24" s="22">
        <v>0</v>
      </c>
      <c r="H24" s="23">
        <v>166.67</v>
      </c>
      <c r="I24" s="17">
        <f t="shared" si="0"/>
        <v>31.666666666666664</v>
      </c>
      <c r="J24" s="17">
        <v>0</v>
      </c>
      <c r="K24" s="17">
        <f t="shared" si="1"/>
        <v>198.33333333333331</v>
      </c>
      <c r="L24" s="24"/>
    </row>
    <row r="25" spans="2:12" ht="15.75" x14ac:dyDescent="0.2">
      <c r="B25" s="15">
        <v>3.3</v>
      </c>
      <c r="C25" s="16" t="s">
        <v>22</v>
      </c>
      <c r="D25" s="17">
        <v>1250</v>
      </c>
      <c r="E25" s="17"/>
      <c r="F25" s="17">
        <v>0</v>
      </c>
      <c r="G25" s="17">
        <v>0</v>
      </c>
      <c r="H25" s="17">
        <v>1250</v>
      </c>
      <c r="I25" s="17">
        <f t="shared" si="0"/>
        <v>237.5</v>
      </c>
      <c r="J25" s="17">
        <v>0</v>
      </c>
      <c r="K25" s="17">
        <f t="shared" si="1"/>
        <v>1487.5</v>
      </c>
      <c r="L25" s="18"/>
    </row>
    <row r="26" spans="2:12" ht="31.5" x14ac:dyDescent="0.2">
      <c r="B26" s="15">
        <v>3.4</v>
      </c>
      <c r="C26" s="16" t="s">
        <v>23</v>
      </c>
      <c r="D26" s="17">
        <f>D27+D28</f>
        <v>4666.67</v>
      </c>
      <c r="E26" s="17"/>
      <c r="F26" s="17">
        <v>0</v>
      </c>
      <c r="G26" s="17">
        <v>0</v>
      </c>
      <c r="H26" s="17">
        <v>2000</v>
      </c>
      <c r="I26" s="17">
        <f>I27+J28</f>
        <v>966.66729999999995</v>
      </c>
      <c r="J26" s="17"/>
      <c r="K26" s="17">
        <f>K27+K28</f>
        <v>5633.3373000000001</v>
      </c>
      <c r="L26" s="18"/>
    </row>
    <row r="27" spans="2:12" ht="31.5" x14ac:dyDescent="0.2">
      <c r="B27" s="15" t="s">
        <v>113</v>
      </c>
      <c r="C27" s="16" t="s">
        <v>119</v>
      </c>
      <c r="D27" s="17">
        <v>666.67</v>
      </c>
      <c r="E27" s="17"/>
      <c r="F27" s="17">
        <v>0</v>
      </c>
      <c r="G27" s="17"/>
      <c r="H27" s="17"/>
      <c r="I27" s="17">
        <f>D27*0.19</f>
        <v>126.6673</v>
      </c>
      <c r="J27" s="17">
        <v>0</v>
      </c>
      <c r="K27" s="17">
        <f>D27+F27+I27</f>
        <v>793.33729999999991</v>
      </c>
      <c r="L27" s="18"/>
    </row>
    <row r="28" spans="2:12" ht="31.5" x14ac:dyDescent="0.2">
      <c r="B28" s="15" t="s">
        <v>114</v>
      </c>
      <c r="C28" s="16" t="s">
        <v>120</v>
      </c>
      <c r="D28" s="17">
        <v>4000</v>
      </c>
      <c r="E28" s="17"/>
      <c r="F28" s="17">
        <v>0</v>
      </c>
      <c r="G28" s="17"/>
      <c r="H28" s="17"/>
      <c r="I28" s="17">
        <v>0</v>
      </c>
      <c r="J28" s="17">
        <f>D28*0.21</f>
        <v>840</v>
      </c>
      <c r="K28" s="17">
        <f>+D28+F28+I28+J28</f>
        <v>4840</v>
      </c>
      <c r="L28" s="18"/>
    </row>
    <row r="29" spans="2:12" ht="15.75" x14ac:dyDescent="0.2">
      <c r="B29" s="15">
        <v>3.5</v>
      </c>
      <c r="C29" s="16" t="s">
        <v>24</v>
      </c>
      <c r="D29" s="17">
        <f>D30+D31+D32+D33+D34+D35</f>
        <v>48331.67</v>
      </c>
      <c r="E29" s="17"/>
      <c r="F29" s="17">
        <v>0</v>
      </c>
      <c r="G29" s="17">
        <v>0</v>
      </c>
      <c r="H29" s="17">
        <v>48164.17</v>
      </c>
      <c r="I29" s="17">
        <f t="shared" ref="I29:I35" si="2">D29*0.19</f>
        <v>9183.0172999999995</v>
      </c>
      <c r="J29" s="17">
        <v>0</v>
      </c>
      <c r="K29" s="17">
        <f t="shared" ref="K29:K36" si="3">D29+F29+I29</f>
        <v>57514.687299999998</v>
      </c>
      <c r="L29" s="18"/>
    </row>
    <row r="30" spans="2:12" ht="15.75" x14ac:dyDescent="0.2">
      <c r="B30" s="19" t="s">
        <v>25</v>
      </c>
      <c r="C30" s="16" t="s">
        <v>26</v>
      </c>
      <c r="D30" s="17">
        <v>0</v>
      </c>
      <c r="E30" s="17"/>
      <c r="F30" s="17">
        <v>0</v>
      </c>
      <c r="G30" s="17">
        <v>0</v>
      </c>
      <c r="H30" s="17">
        <v>0</v>
      </c>
      <c r="I30" s="17">
        <f t="shared" si="2"/>
        <v>0</v>
      </c>
      <c r="J30" s="17">
        <v>0</v>
      </c>
      <c r="K30" s="17">
        <f t="shared" si="3"/>
        <v>0</v>
      </c>
      <c r="L30" s="18"/>
    </row>
    <row r="31" spans="2:12" ht="15.75" x14ac:dyDescent="0.2">
      <c r="B31" s="19" t="s">
        <v>27</v>
      </c>
      <c r="C31" s="16" t="s">
        <v>28</v>
      </c>
      <c r="D31" s="17">
        <v>0</v>
      </c>
      <c r="E31" s="17"/>
      <c r="F31" s="17">
        <v>0</v>
      </c>
      <c r="G31" s="17">
        <v>0</v>
      </c>
      <c r="H31" s="17">
        <v>0</v>
      </c>
      <c r="I31" s="17">
        <f t="shared" si="2"/>
        <v>0</v>
      </c>
      <c r="J31" s="17">
        <v>0</v>
      </c>
      <c r="K31" s="17">
        <f t="shared" si="3"/>
        <v>0</v>
      </c>
      <c r="L31" s="18"/>
    </row>
    <row r="32" spans="2:12" ht="31.5" x14ac:dyDescent="0.2">
      <c r="B32" s="19" t="s">
        <v>29</v>
      </c>
      <c r="C32" s="16" t="s">
        <v>30</v>
      </c>
      <c r="D32" s="17">
        <v>5000</v>
      </c>
      <c r="E32" s="17"/>
      <c r="F32" s="17">
        <v>0</v>
      </c>
      <c r="G32" s="17">
        <v>0</v>
      </c>
      <c r="H32" s="17">
        <v>5000</v>
      </c>
      <c r="I32" s="17">
        <f t="shared" si="2"/>
        <v>950</v>
      </c>
      <c r="J32" s="17">
        <v>0</v>
      </c>
      <c r="K32" s="17">
        <f t="shared" si="3"/>
        <v>5950</v>
      </c>
      <c r="L32" s="18"/>
    </row>
    <row r="33" spans="2:12" ht="31.5" x14ac:dyDescent="0.2">
      <c r="B33" s="19" t="s">
        <v>31</v>
      </c>
      <c r="C33" s="16" t="s">
        <v>32</v>
      </c>
      <c r="D33" s="53">
        <v>166.67</v>
      </c>
      <c r="E33" s="53"/>
      <c r="F33" s="53">
        <v>0</v>
      </c>
      <c r="G33" s="53"/>
      <c r="H33" s="53">
        <v>1500</v>
      </c>
      <c r="I33" s="53">
        <f t="shared" si="2"/>
        <v>31.667299999999997</v>
      </c>
      <c r="J33" s="53">
        <v>0</v>
      </c>
      <c r="K33" s="53">
        <f t="shared" si="3"/>
        <v>198.33729999999997</v>
      </c>
      <c r="L33" s="54"/>
    </row>
    <row r="34" spans="2:12" ht="31.5" x14ac:dyDescent="0.2">
      <c r="B34" s="19" t="s">
        <v>33</v>
      </c>
      <c r="C34" s="16" t="s">
        <v>34</v>
      </c>
      <c r="D34" s="17">
        <v>5500.83</v>
      </c>
      <c r="E34" s="17"/>
      <c r="F34" s="17">
        <v>0</v>
      </c>
      <c r="G34" s="17"/>
      <c r="H34" s="17">
        <v>5500</v>
      </c>
      <c r="I34" s="17">
        <f t="shared" si="2"/>
        <v>1045.1577</v>
      </c>
      <c r="J34" s="17">
        <v>0</v>
      </c>
      <c r="K34" s="17">
        <f t="shared" si="3"/>
        <v>6545.9876999999997</v>
      </c>
      <c r="L34" s="18"/>
    </row>
    <row r="35" spans="2:12" ht="15.75" x14ac:dyDescent="0.2">
      <c r="B35" s="19" t="s">
        <v>35</v>
      </c>
      <c r="C35" s="16" t="s">
        <v>36</v>
      </c>
      <c r="D35" s="17">
        <v>37664.17</v>
      </c>
      <c r="E35" s="17"/>
      <c r="F35" s="17">
        <v>0</v>
      </c>
      <c r="G35" s="17"/>
      <c r="H35" s="17">
        <v>36164.17</v>
      </c>
      <c r="I35" s="17">
        <f t="shared" si="2"/>
        <v>7156.1922999999997</v>
      </c>
      <c r="J35" s="17">
        <v>0</v>
      </c>
      <c r="K35" s="17">
        <f t="shared" si="3"/>
        <v>44820.362300000001</v>
      </c>
      <c r="L35" s="18"/>
    </row>
    <row r="36" spans="2:12" ht="15.75" x14ac:dyDescent="0.2">
      <c r="B36" s="15">
        <v>3.6</v>
      </c>
      <c r="C36" s="16" t="s">
        <v>37</v>
      </c>
      <c r="D36" s="17">
        <v>0</v>
      </c>
      <c r="E36" s="17"/>
      <c r="F36" s="17">
        <v>5833.33</v>
      </c>
      <c r="G36" s="17"/>
      <c r="H36" s="17">
        <v>6000</v>
      </c>
      <c r="I36" s="17">
        <f>(D36+F36)*0.19</f>
        <v>1108.3326999999999</v>
      </c>
      <c r="J36" s="17">
        <v>0</v>
      </c>
      <c r="K36" s="17">
        <f t="shared" si="3"/>
        <v>6941.6626999999999</v>
      </c>
      <c r="L36" s="18"/>
    </row>
    <row r="37" spans="2:12" ht="15.75" x14ac:dyDescent="0.2">
      <c r="B37" s="15">
        <v>3.7</v>
      </c>
      <c r="C37" s="16" t="s">
        <v>38</v>
      </c>
      <c r="D37" s="17">
        <v>0</v>
      </c>
      <c r="E37" s="17"/>
      <c r="F37" s="17">
        <v>5000</v>
      </c>
      <c r="G37" s="17"/>
      <c r="H37" s="17">
        <v>5000</v>
      </c>
      <c r="I37" s="17">
        <v>0</v>
      </c>
      <c r="J37" s="17">
        <f>F37*0.21</f>
        <v>1050</v>
      </c>
      <c r="K37" s="17">
        <f>D37+F37+I37+J37</f>
        <v>6050</v>
      </c>
      <c r="L37" s="18"/>
    </row>
    <row r="38" spans="2:12" ht="31.5" x14ac:dyDescent="0.2">
      <c r="B38" s="19" t="s">
        <v>39</v>
      </c>
      <c r="C38" s="16" t="s">
        <v>40</v>
      </c>
      <c r="D38" s="17">
        <v>0</v>
      </c>
      <c r="E38" s="17"/>
      <c r="F38" s="17">
        <v>4000</v>
      </c>
      <c r="G38" s="17"/>
      <c r="H38" s="17">
        <v>4000</v>
      </c>
      <c r="I38" s="17">
        <v>0</v>
      </c>
      <c r="J38" s="17">
        <f>F38*0.21</f>
        <v>840</v>
      </c>
      <c r="K38" s="17">
        <f>D38+F38+I38+J38</f>
        <v>4840</v>
      </c>
      <c r="L38" s="18"/>
    </row>
    <row r="39" spans="2:12" ht="15.75" x14ac:dyDescent="0.2">
      <c r="B39" s="19" t="s">
        <v>41</v>
      </c>
      <c r="C39" s="16" t="s">
        <v>42</v>
      </c>
      <c r="D39" s="17">
        <v>0</v>
      </c>
      <c r="E39" s="17"/>
      <c r="F39" s="17">
        <v>1000</v>
      </c>
      <c r="G39" s="17"/>
      <c r="H39" s="17">
        <v>1000</v>
      </c>
      <c r="I39" s="17">
        <v>0</v>
      </c>
      <c r="J39" s="17">
        <f>F39*0.21</f>
        <v>210</v>
      </c>
      <c r="K39" s="17">
        <f>D39+F39+I39+J39</f>
        <v>1210</v>
      </c>
      <c r="L39" s="18"/>
    </row>
    <row r="40" spans="2:12" ht="15.75" x14ac:dyDescent="0.2">
      <c r="B40" s="15">
        <v>3.8</v>
      </c>
      <c r="C40" s="16" t="s">
        <v>43</v>
      </c>
      <c r="D40" s="17">
        <f>D41+D44+D45</f>
        <v>24341.679999999997</v>
      </c>
      <c r="E40" s="17"/>
      <c r="F40" s="17">
        <v>0</v>
      </c>
      <c r="G40" s="17"/>
      <c r="H40" s="17">
        <v>27566.67</v>
      </c>
      <c r="I40" s="17">
        <v>0</v>
      </c>
      <c r="J40" s="17">
        <f>D40*0.21</f>
        <v>5111.7527999999993</v>
      </c>
      <c r="K40" s="17">
        <f>D40+F40+I40+J40</f>
        <v>29453.432799999995</v>
      </c>
      <c r="L40" s="18"/>
    </row>
    <row r="41" spans="2:12" ht="15.75" x14ac:dyDescent="0.2">
      <c r="B41" s="19" t="s">
        <v>44</v>
      </c>
      <c r="C41" s="16" t="s">
        <v>45</v>
      </c>
      <c r="D41" s="17">
        <v>1666.67</v>
      </c>
      <c r="E41" s="17"/>
      <c r="F41" s="17">
        <v>0</v>
      </c>
      <c r="G41" s="17"/>
      <c r="H41" s="17">
        <v>1666.67</v>
      </c>
      <c r="I41" s="17">
        <v>0</v>
      </c>
      <c r="J41" s="17">
        <f t="shared" ref="J41:J45" si="4">D41*0.21</f>
        <v>350.00069999999999</v>
      </c>
      <c r="K41" s="17">
        <f t="shared" ref="K41:K43" si="5">D41+F41+I41+J41</f>
        <v>2016.6707000000001</v>
      </c>
      <c r="L41" s="18"/>
    </row>
    <row r="42" spans="2:12" ht="15.75" x14ac:dyDescent="0.2">
      <c r="B42" s="19" t="s">
        <v>46</v>
      </c>
      <c r="C42" s="16" t="s">
        <v>47</v>
      </c>
      <c r="D42" s="17">
        <v>1000</v>
      </c>
      <c r="E42" s="17"/>
      <c r="F42" s="17">
        <v>0</v>
      </c>
      <c r="G42" s="17"/>
      <c r="H42" s="17">
        <v>1000</v>
      </c>
      <c r="I42" s="17">
        <v>0</v>
      </c>
      <c r="J42" s="17">
        <f t="shared" si="4"/>
        <v>210</v>
      </c>
      <c r="K42" s="17">
        <f t="shared" si="5"/>
        <v>1210</v>
      </c>
      <c r="L42" s="18"/>
    </row>
    <row r="43" spans="2:12" ht="47.25" x14ac:dyDescent="0.2">
      <c r="B43" s="19" t="s">
        <v>48</v>
      </c>
      <c r="C43" s="16" t="s">
        <v>49</v>
      </c>
      <c r="D43" s="17">
        <v>666.67</v>
      </c>
      <c r="E43" s="17"/>
      <c r="F43" s="17">
        <v>0</v>
      </c>
      <c r="G43" s="17"/>
      <c r="H43" s="17">
        <v>666.67</v>
      </c>
      <c r="I43" s="17">
        <v>0</v>
      </c>
      <c r="J43" s="17">
        <f t="shared" si="4"/>
        <v>140.00069999999999</v>
      </c>
      <c r="K43" s="17">
        <f t="shared" si="5"/>
        <v>806.6706999999999</v>
      </c>
      <c r="L43" s="18"/>
    </row>
    <row r="44" spans="2:12" ht="15.75" x14ac:dyDescent="0.2">
      <c r="B44" s="19" t="s">
        <v>50</v>
      </c>
      <c r="C44" s="16" t="s">
        <v>51</v>
      </c>
      <c r="D44" s="17">
        <v>20416.669999999998</v>
      </c>
      <c r="E44" s="17"/>
      <c r="F44" s="17">
        <v>0</v>
      </c>
      <c r="G44" s="17"/>
      <c r="H44" s="17">
        <v>21500</v>
      </c>
      <c r="I44" s="17">
        <v>0</v>
      </c>
      <c r="J44" s="17">
        <f t="shared" si="4"/>
        <v>4287.5006999999996</v>
      </c>
      <c r="K44" s="17">
        <f>D44+F44+I44+J44</f>
        <v>24704.170699999999</v>
      </c>
      <c r="L44" s="18"/>
    </row>
    <row r="45" spans="2:12" ht="47.25" x14ac:dyDescent="0.2">
      <c r="B45" s="25" t="s">
        <v>52</v>
      </c>
      <c r="C45" s="21" t="s">
        <v>53</v>
      </c>
      <c r="D45" s="22">
        <v>2258.34</v>
      </c>
      <c r="E45" s="22"/>
      <c r="F45" s="22">
        <v>0</v>
      </c>
      <c r="G45" s="22"/>
      <c r="H45" s="23">
        <v>4400</v>
      </c>
      <c r="I45" s="17">
        <v>0</v>
      </c>
      <c r="J45" s="17">
        <f t="shared" si="4"/>
        <v>474.25139999999999</v>
      </c>
      <c r="K45" s="17">
        <f>D45+F45+I45+J45</f>
        <v>2732.5914000000002</v>
      </c>
      <c r="L45" s="24"/>
    </row>
    <row r="46" spans="2:12" ht="15.75" customHeight="1" x14ac:dyDescent="0.2">
      <c r="B46" s="167" t="s">
        <v>54</v>
      </c>
      <c r="C46" s="168"/>
      <c r="D46" s="26">
        <f>D20+D24+D25+D26+D29+D36+D37+D40</f>
        <v>80423.356666666659</v>
      </c>
      <c r="E46" s="26"/>
      <c r="F46" s="26">
        <f>F20+F24+F25+F26+F29+F36+F37+F40</f>
        <v>10833.33</v>
      </c>
      <c r="G46" s="26"/>
      <c r="H46" s="26">
        <f>H20+H24+H25+H26+H29+H36+H37+H40</f>
        <v>91814.18</v>
      </c>
      <c r="I46" s="26">
        <f>I36+I29+I27+I25+I20+I24</f>
        <v>11003.851266666663</v>
      </c>
      <c r="J46" s="26">
        <f>J40+J37+J28</f>
        <v>7001.7527999999993</v>
      </c>
      <c r="K46" s="26">
        <f>D46+F46+I46+J46</f>
        <v>109262.29073333333</v>
      </c>
      <c r="L46" s="27"/>
    </row>
    <row r="47" spans="2:12" ht="15.75" x14ac:dyDescent="0.2">
      <c r="B47" s="164" t="s">
        <v>103</v>
      </c>
      <c r="C47" s="165"/>
      <c r="D47" s="165"/>
      <c r="E47" s="165"/>
      <c r="F47" s="165"/>
      <c r="G47" s="165"/>
      <c r="H47" s="165"/>
      <c r="I47" s="165"/>
      <c r="J47" s="165"/>
      <c r="K47" s="165"/>
      <c r="L47" s="166"/>
    </row>
    <row r="48" spans="2:12" s="98" customFormat="1" ht="15.75" x14ac:dyDescent="0.2">
      <c r="B48" s="99">
        <v>4.0999999999999996</v>
      </c>
      <c r="C48" s="50" t="s">
        <v>55</v>
      </c>
      <c r="D48" s="100">
        <f>D49+D50+D51+D52</f>
        <v>1935654.4</v>
      </c>
      <c r="E48" s="100"/>
      <c r="F48" s="101">
        <v>0</v>
      </c>
      <c r="G48" s="101"/>
      <c r="H48" s="101">
        <v>2406860.88</v>
      </c>
      <c r="I48" s="101">
        <v>0</v>
      </c>
      <c r="J48" s="101">
        <f>D48*0.21</f>
        <v>406487.42399999994</v>
      </c>
      <c r="K48" s="100">
        <f>D48+F48+I48+J48</f>
        <v>2342141.824</v>
      </c>
      <c r="L48" s="102"/>
    </row>
    <row r="49" spans="1:12" s="98" customFormat="1" ht="15.75" x14ac:dyDescent="0.2">
      <c r="B49" s="103" t="s">
        <v>56</v>
      </c>
      <c r="C49" s="104" t="s">
        <v>57</v>
      </c>
      <c r="D49" s="105">
        <f>1731586.89+84895.87</f>
        <v>1816482.7599999998</v>
      </c>
      <c r="E49" s="105"/>
      <c r="F49" s="101">
        <v>0</v>
      </c>
      <c r="G49" s="106"/>
      <c r="H49" s="106">
        <v>2403510.35</v>
      </c>
      <c r="I49" s="101">
        <v>0</v>
      </c>
      <c r="J49" s="101">
        <f t="shared" ref="J49:J53" si="6">D49*0.21</f>
        <v>381461.37959999993</v>
      </c>
      <c r="K49" s="100">
        <f t="shared" ref="K49:K53" si="7">D49+F49+I49+J49</f>
        <v>2197944.1395999999</v>
      </c>
      <c r="L49" s="107"/>
    </row>
    <row r="50" spans="1:12" s="98" customFormat="1" ht="15.75" x14ac:dyDescent="0.2">
      <c r="B50" s="103" t="s">
        <v>58</v>
      </c>
      <c r="C50" s="104" t="s">
        <v>61</v>
      </c>
      <c r="D50" s="106">
        <f>4195.13+55.73</f>
        <v>4250.8599999999997</v>
      </c>
      <c r="E50" s="106"/>
      <c r="F50" s="101">
        <v>0</v>
      </c>
      <c r="G50" s="106"/>
      <c r="H50" s="106">
        <v>2929.96</v>
      </c>
      <c r="I50" s="101">
        <v>0</v>
      </c>
      <c r="J50" s="101">
        <f t="shared" si="6"/>
        <v>892.68059999999991</v>
      </c>
      <c r="K50" s="100">
        <f t="shared" si="7"/>
        <v>5143.5405999999994</v>
      </c>
      <c r="L50" s="108"/>
    </row>
    <row r="51" spans="1:12" s="98" customFormat="1" ht="15.75" x14ac:dyDescent="0.2">
      <c r="B51" s="103" t="s">
        <v>60</v>
      </c>
      <c r="C51" s="104" t="s">
        <v>59</v>
      </c>
      <c r="D51" s="105">
        <f>980.97+37.15</f>
        <v>1018.12</v>
      </c>
      <c r="E51" s="106"/>
      <c r="F51" s="101">
        <v>0</v>
      </c>
      <c r="G51" s="106"/>
      <c r="H51" s="106">
        <v>420.57</v>
      </c>
      <c r="I51" s="101">
        <v>0</v>
      </c>
      <c r="J51" s="101">
        <f t="shared" si="6"/>
        <v>213.80519999999999</v>
      </c>
      <c r="K51" s="100">
        <f t="shared" si="7"/>
        <v>1231.9251999999999</v>
      </c>
      <c r="L51" s="108"/>
    </row>
    <row r="52" spans="1:12" s="98" customFormat="1" ht="15.75" x14ac:dyDescent="0.2">
      <c r="B52" s="103" t="s">
        <v>99</v>
      </c>
      <c r="C52" s="104" t="s">
        <v>64</v>
      </c>
      <c r="D52" s="105">
        <f>106007.53+7895.13</f>
        <v>113902.66</v>
      </c>
      <c r="E52" s="106"/>
      <c r="F52" s="101">
        <v>0</v>
      </c>
      <c r="G52" s="106"/>
      <c r="H52" s="106">
        <v>0</v>
      </c>
      <c r="I52" s="101">
        <v>0</v>
      </c>
      <c r="J52" s="101">
        <f t="shared" si="6"/>
        <v>23919.5586</v>
      </c>
      <c r="K52" s="100">
        <f t="shared" si="7"/>
        <v>137822.21859999999</v>
      </c>
      <c r="L52" s="108"/>
    </row>
    <row r="53" spans="1:12" s="98" customFormat="1" ht="31.5" x14ac:dyDescent="0.2">
      <c r="B53" s="99">
        <v>4.2</v>
      </c>
      <c r="C53" s="50" t="s">
        <v>62</v>
      </c>
      <c r="D53" s="100">
        <f>D54</f>
        <v>52313.33</v>
      </c>
      <c r="E53" s="100"/>
      <c r="F53" s="101">
        <v>0</v>
      </c>
      <c r="G53" s="101"/>
      <c r="H53" s="101">
        <v>241989.85</v>
      </c>
      <c r="I53" s="101">
        <v>0</v>
      </c>
      <c r="J53" s="101">
        <f t="shared" si="6"/>
        <v>10985.799300000001</v>
      </c>
      <c r="K53" s="100">
        <f t="shared" si="7"/>
        <v>63299.129300000001</v>
      </c>
      <c r="L53" s="102"/>
    </row>
    <row r="54" spans="1:12" s="98" customFormat="1" ht="15.75" x14ac:dyDescent="0.2">
      <c r="B54" s="103" t="s">
        <v>65</v>
      </c>
      <c r="C54" s="104" t="s">
        <v>61</v>
      </c>
      <c r="D54" s="105">
        <v>52313.33</v>
      </c>
      <c r="E54" s="105"/>
      <c r="F54" s="101">
        <v>0</v>
      </c>
      <c r="G54" s="106"/>
      <c r="H54" s="106">
        <v>37507.370000000003</v>
      </c>
      <c r="I54" s="101">
        <v>0</v>
      </c>
      <c r="J54" s="101">
        <f t="shared" ref="J54:J60" si="8">D54*0.21</f>
        <v>10985.799300000001</v>
      </c>
      <c r="K54" s="100">
        <f t="shared" ref="K54:K60" si="9">D54+F54+I54+J54</f>
        <v>63299.129300000001</v>
      </c>
      <c r="L54" s="107"/>
    </row>
    <row r="55" spans="1:12" s="98" customFormat="1" ht="31.5" x14ac:dyDescent="0.2">
      <c r="B55" s="99">
        <v>4.3</v>
      </c>
      <c r="C55" s="50" t="s">
        <v>66</v>
      </c>
      <c r="D55" s="100">
        <f>D56</f>
        <v>16000</v>
      </c>
      <c r="E55" s="100"/>
      <c r="F55" s="101">
        <v>0</v>
      </c>
      <c r="G55" s="101"/>
      <c r="H55" s="101">
        <v>75000</v>
      </c>
      <c r="I55" s="101">
        <v>0</v>
      </c>
      <c r="J55" s="101">
        <f t="shared" si="8"/>
        <v>3360</v>
      </c>
      <c r="K55" s="100">
        <f t="shared" si="9"/>
        <v>19360</v>
      </c>
      <c r="L55" s="102"/>
    </row>
    <row r="56" spans="1:12" s="98" customFormat="1" ht="15.75" x14ac:dyDescent="0.2">
      <c r="B56" s="103" t="s">
        <v>67</v>
      </c>
      <c r="C56" s="104" t="s">
        <v>61</v>
      </c>
      <c r="D56" s="105">
        <v>16000</v>
      </c>
      <c r="E56" s="105"/>
      <c r="F56" s="101">
        <v>0</v>
      </c>
      <c r="G56" s="106"/>
      <c r="H56" s="106">
        <v>75000</v>
      </c>
      <c r="I56" s="101">
        <v>0</v>
      </c>
      <c r="J56" s="101">
        <f t="shared" si="8"/>
        <v>3360</v>
      </c>
      <c r="K56" s="100">
        <f t="shared" si="9"/>
        <v>19360</v>
      </c>
      <c r="L56" s="107"/>
    </row>
    <row r="57" spans="1:12" s="98" customFormat="1" ht="47.25" x14ac:dyDescent="0.2">
      <c r="B57" s="99">
        <v>4.4000000000000004</v>
      </c>
      <c r="C57" s="50" t="s">
        <v>68</v>
      </c>
      <c r="D57" s="101">
        <v>0</v>
      </c>
      <c r="E57" s="101"/>
      <c r="F57" s="101">
        <v>0</v>
      </c>
      <c r="G57" s="101"/>
      <c r="H57" s="101">
        <v>0</v>
      </c>
      <c r="I57" s="101">
        <v>0</v>
      </c>
      <c r="J57" s="101">
        <f t="shared" si="8"/>
        <v>0</v>
      </c>
      <c r="K57" s="100">
        <f t="shared" si="9"/>
        <v>0</v>
      </c>
      <c r="L57" s="112"/>
    </row>
    <row r="58" spans="1:12" s="98" customFormat="1" ht="15.75" x14ac:dyDescent="0.2">
      <c r="B58" s="99">
        <v>4.5</v>
      </c>
      <c r="C58" s="50" t="s">
        <v>69</v>
      </c>
      <c r="D58" s="101">
        <v>0</v>
      </c>
      <c r="E58" s="101"/>
      <c r="F58" s="101">
        <v>0</v>
      </c>
      <c r="G58" s="101"/>
      <c r="H58" s="101">
        <v>0</v>
      </c>
      <c r="I58" s="101">
        <v>0</v>
      </c>
      <c r="J58" s="101">
        <f t="shared" si="8"/>
        <v>0</v>
      </c>
      <c r="K58" s="100">
        <f t="shared" si="9"/>
        <v>0</v>
      </c>
      <c r="L58" s="112"/>
    </row>
    <row r="59" spans="1:12" s="98" customFormat="1" ht="15.75" x14ac:dyDescent="0.2">
      <c r="B59" s="99">
        <v>4.5999999999999996</v>
      </c>
      <c r="C59" s="50" t="s">
        <v>70</v>
      </c>
      <c r="D59" s="101">
        <v>0</v>
      </c>
      <c r="E59" s="101"/>
      <c r="F59" s="101">
        <v>0</v>
      </c>
      <c r="G59" s="101"/>
      <c r="H59" s="101">
        <v>0</v>
      </c>
      <c r="I59" s="101">
        <v>0</v>
      </c>
      <c r="J59" s="101">
        <f t="shared" si="8"/>
        <v>0</v>
      </c>
      <c r="K59" s="100">
        <f t="shared" si="9"/>
        <v>0</v>
      </c>
      <c r="L59" s="112"/>
    </row>
    <row r="60" spans="1:12" s="127" customFormat="1" ht="15.75" x14ac:dyDescent="0.2">
      <c r="B60" s="171" t="s">
        <v>71</v>
      </c>
      <c r="C60" s="172"/>
      <c r="D60" s="152">
        <f>D48+D53+D55+D57+D58+D59</f>
        <v>2003967.73</v>
      </c>
      <c r="E60" s="109"/>
      <c r="F60" s="110">
        <v>0</v>
      </c>
      <c r="G60" s="110"/>
      <c r="H60" s="110">
        <f>H48+H53+H55+H57+H58+H59</f>
        <v>2723850.73</v>
      </c>
      <c r="I60" s="110">
        <v>0</v>
      </c>
      <c r="J60" s="110">
        <f t="shared" si="8"/>
        <v>420833.22329999995</v>
      </c>
      <c r="K60" s="109">
        <f t="shared" si="9"/>
        <v>2424800.9533000002</v>
      </c>
      <c r="L60" s="111"/>
    </row>
    <row r="61" spans="1:12" ht="15.75" x14ac:dyDescent="0.2">
      <c r="B61" s="164" t="s">
        <v>104</v>
      </c>
      <c r="C61" s="165"/>
      <c r="D61" s="165"/>
      <c r="E61" s="165"/>
      <c r="F61" s="165"/>
      <c r="G61" s="165"/>
      <c r="H61" s="165"/>
      <c r="I61" s="165"/>
      <c r="J61" s="165"/>
      <c r="K61" s="165"/>
      <c r="L61" s="166"/>
    </row>
    <row r="62" spans="1:12" ht="15.75" x14ac:dyDescent="0.2">
      <c r="B62" s="15">
        <v>5.0999999999999996</v>
      </c>
      <c r="C62" s="16" t="s">
        <v>72</v>
      </c>
      <c r="D62" s="31">
        <v>0</v>
      </c>
      <c r="E62" s="31"/>
      <c r="F62" s="17">
        <v>0</v>
      </c>
      <c r="G62" s="17"/>
      <c r="H62" s="17">
        <v>60000</v>
      </c>
      <c r="I62" s="17">
        <f>D62*0.21</f>
        <v>0</v>
      </c>
      <c r="J62" s="17">
        <v>0</v>
      </c>
      <c r="K62" s="31">
        <f t="shared" ref="K62:K75" si="10">D62+F62+I62</f>
        <v>0</v>
      </c>
      <c r="L62" s="35"/>
    </row>
    <row r="63" spans="1:12" ht="31.5" x14ac:dyDescent="0.2">
      <c r="A63" s="98"/>
      <c r="B63" s="113" t="s">
        <v>73</v>
      </c>
      <c r="C63" s="50" t="s">
        <v>74</v>
      </c>
      <c r="D63" s="100">
        <v>0</v>
      </c>
      <c r="E63" s="100"/>
      <c r="F63" s="101">
        <v>0</v>
      </c>
      <c r="G63" s="101"/>
      <c r="H63" s="101">
        <v>50000</v>
      </c>
      <c r="I63" s="101">
        <f>D63*0.21</f>
        <v>0</v>
      </c>
      <c r="J63" s="101">
        <v>0</v>
      </c>
      <c r="K63" s="100">
        <f t="shared" si="10"/>
        <v>0</v>
      </c>
      <c r="L63" s="102"/>
    </row>
    <row r="64" spans="1:12" ht="15.75" x14ac:dyDescent="0.2">
      <c r="A64" s="98"/>
      <c r="B64" s="114" t="s">
        <v>75</v>
      </c>
      <c r="C64" s="115" t="s">
        <v>76</v>
      </c>
      <c r="D64" s="116">
        <v>0</v>
      </c>
      <c r="E64" s="116"/>
      <c r="F64" s="101">
        <v>0</v>
      </c>
      <c r="G64" s="117"/>
      <c r="H64" s="118">
        <v>10000</v>
      </c>
      <c r="I64" s="101">
        <f>D64*0.21</f>
        <v>0</v>
      </c>
      <c r="J64" s="101">
        <v>0</v>
      </c>
      <c r="K64" s="100">
        <f t="shared" si="10"/>
        <v>0</v>
      </c>
      <c r="L64" s="119"/>
    </row>
    <row r="65" spans="1:12" ht="15.75" x14ac:dyDescent="0.2">
      <c r="A65" s="98"/>
      <c r="B65" s="99">
        <v>5.2</v>
      </c>
      <c r="C65" s="50" t="s">
        <v>77</v>
      </c>
      <c r="D65" s="100">
        <f>D66+D67+D68+D69+D70</f>
        <v>21867.64503</v>
      </c>
      <c r="E65" s="100"/>
      <c r="F65" s="101">
        <v>0</v>
      </c>
      <c r="G65" s="101"/>
      <c r="H65" s="101">
        <v>26977.06</v>
      </c>
      <c r="I65" s="101">
        <f>I66+I67+I68+I69+I70</f>
        <v>0</v>
      </c>
      <c r="J65" s="101">
        <v>0</v>
      </c>
      <c r="K65" s="100">
        <f t="shared" si="10"/>
        <v>21867.64503</v>
      </c>
      <c r="L65" s="102"/>
    </row>
    <row r="66" spans="1:12" ht="31.5" x14ac:dyDescent="0.2">
      <c r="A66" s="98"/>
      <c r="B66" s="113" t="s">
        <v>78</v>
      </c>
      <c r="C66" s="50" t="s">
        <v>79</v>
      </c>
      <c r="D66" s="101">
        <v>0</v>
      </c>
      <c r="E66" s="101"/>
      <c r="F66" s="101">
        <v>0</v>
      </c>
      <c r="G66" s="101"/>
      <c r="H66" s="101">
        <v>0</v>
      </c>
      <c r="I66" s="101">
        <f>D66*0.21</f>
        <v>0</v>
      </c>
      <c r="J66" s="101">
        <v>0</v>
      </c>
      <c r="K66" s="100">
        <f t="shared" si="10"/>
        <v>0</v>
      </c>
      <c r="L66" s="112"/>
    </row>
    <row r="67" spans="1:12" ht="31.5" x14ac:dyDescent="0.2">
      <c r="A67" s="98"/>
      <c r="B67" s="113" t="s">
        <v>80</v>
      </c>
      <c r="C67" s="50" t="s">
        <v>81</v>
      </c>
      <c r="D67" s="100">
        <f>D85*0.005</f>
        <v>9939.8386499999997</v>
      </c>
      <c r="E67" s="100"/>
      <c r="F67" s="101">
        <v>0</v>
      </c>
      <c r="G67" s="101"/>
      <c r="H67" s="101">
        <v>12262.3</v>
      </c>
      <c r="I67" s="101">
        <v>0</v>
      </c>
      <c r="J67" s="101">
        <v>0</v>
      </c>
      <c r="K67" s="100">
        <f t="shared" si="10"/>
        <v>9939.8386499999997</v>
      </c>
      <c r="L67" s="102"/>
    </row>
    <row r="68" spans="1:12" ht="47.25" x14ac:dyDescent="0.2">
      <c r="A68" s="98"/>
      <c r="B68" s="113" t="s">
        <v>82</v>
      </c>
      <c r="C68" s="50" t="s">
        <v>83</v>
      </c>
      <c r="D68" s="100">
        <f>D85*0.001</f>
        <v>1987.9677300000001</v>
      </c>
      <c r="E68" s="101"/>
      <c r="F68" s="101">
        <v>0</v>
      </c>
      <c r="G68" s="101"/>
      <c r="H68" s="101">
        <v>2452.46</v>
      </c>
      <c r="I68" s="101">
        <v>0</v>
      </c>
      <c r="J68" s="101">
        <v>0</v>
      </c>
      <c r="K68" s="100">
        <f t="shared" si="10"/>
        <v>1987.9677300000001</v>
      </c>
      <c r="L68" s="112"/>
    </row>
    <row r="69" spans="1:12" ht="31.5" x14ac:dyDescent="0.2">
      <c r="A69" s="98"/>
      <c r="B69" s="113" t="s">
        <v>84</v>
      </c>
      <c r="C69" s="50" t="s">
        <v>85</v>
      </c>
      <c r="D69" s="100">
        <f>D85*0.005</f>
        <v>9939.8386499999997</v>
      </c>
      <c r="E69" s="100"/>
      <c r="F69" s="101">
        <v>0</v>
      </c>
      <c r="G69" s="101"/>
      <c r="H69" s="101">
        <v>12262.3</v>
      </c>
      <c r="I69" s="101">
        <v>0</v>
      </c>
      <c r="J69" s="101">
        <v>0</v>
      </c>
      <c r="K69" s="100">
        <f t="shared" si="10"/>
        <v>9939.8386499999997</v>
      </c>
      <c r="L69" s="102"/>
    </row>
    <row r="70" spans="1:12" ht="31.5" x14ac:dyDescent="0.2">
      <c r="A70" s="98"/>
      <c r="B70" s="113" t="s">
        <v>86</v>
      </c>
      <c r="C70" s="50" t="s">
        <v>87</v>
      </c>
      <c r="D70" s="101">
        <v>0</v>
      </c>
      <c r="E70" s="101"/>
      <c r="F70" s="101">
        <v>0</v>
      </c>
      <c r="G70" s="101"/>
      <c r="H70" s="101">
        <v>0</v>
      </c>
      <c r="I70" s="101">
        <f>D70*0.21</f>
        <v>0</v>
      </c>
      <c r="J70" s="101">
        <v>0</v>
      </c>
      <c r="K70" s="100">
        <f t="shared" si="10"/>
        <v>0</v>
      </c>
      <c r="L70" s="112"/>
    </row>
    <row r="71" spans="1:12" ht="15.75" x14ac:dyDescent="0.2">
      <c r="A71" s="98"/>
      <c r="B71" s="99">
        <v>5.3</v>
      </c>
      <c r="C71" s="50" t="s">
        <v>88</v>
      </c>
      <c r="D71" s="100">
        <v>301798.12</v>
      </c>
      <c r="E71" s="100"/>
      <c r="F71" s="101">
        <v>0</v>
      </c>
      <c r="G71" s="101"/>
      <c r="H71" s="101">
        <v>242302.81</v>
      </c>
      <c r="I71" s="101">
        <v>0</v>
      </c>
      <c r="J71" s="101">
        <f>D71*0.21</f>
        <v>63377.605199999998</v>
      </c>
      <c r="K71" s="100">
        <f>D71+F71+I71+J71</f>
        <v>365175.72519999999</v>
      </c>
      <c r="L71" s="102"/>
    </row>
    <row r="72" spans="1:12" ht="15.75" x14ac:dyDescent="0.2">
      <c r="A72" s="98"/>
      <c r="B72" s="99">
        <v>5.4</v>
      </c>
      <c r="C72" s="50" t="s">
        <v>89</v>
      </c>
      <c r="D72" s="100">
        <v>2000</v>
      </c>
      <c r="E72" s="101"/>
      <c r="F72" s="101">
        <v>0</v>
      </c>
      <c r="G72" s="101"/>
      <c r="H72" s="101">
        <v>2000</v>
      </c>
      <c r="I72" s="101">
        <f>I73+J74</f>
        <v>416.47899999999998</v>
      </c>
      <c r="J72" s="101">
        <v>0</v>
      </c>
      <c r="K72" s="100">
        <f t="shared" si="10"/>
        <v>2416.4789999999998</v>
      </c>
      <c r="L72" s="112"/>
    </row>
    <row r="73" spans="1:12" ht="31.5" x14ac:dyDescent="0.2">
      <c r="A73" s="98"/>
      <c r="B73" s="153" t="s">
        <v>115</v>
      </c>
      <c r="C73" s="50" t="s">
        <v>117</v>
      </c>
      <c r="D73" s="100">
        <v>176.05</v>
      </c>
      <c r="E73" s="101"/>
      <c r="F73" s="101">
        <v>0</v>
      </c>
      <c r="G73" s="101"/>
      <c r="H73" s="101"/>
      <c r="I73" s="101">
        <f>D73*0.19</f>
        <v>33.4495</v>
      </c>
      <c r="J73" s="101">
        <v>0</v>
      </c>
      <c r="K73" s="100">
        <f>I73+D73</f>
        <v>209.49950000000001</v>
      </c>
      <c r="L73" s="112"/>
    </row>
    <row r="74" spans="1:12" ht="31.5" x14ac:dyDescent="0.2">
      <c r="A74" s="98"/>
      <c r="B74" s="153" t="s">
        <v>116</v>
      </c>
      <c r="C74" s="50" t="s">
        <v>121</v>
      </c>
      <c r="D74" s="100">
        <v>1823.95</v>
      </c>
      <c r="E74" s="101"/>
      <c r="F74" s="101">
        <v>0</v>
      </c>
      <c r="G74" s="101"/>
      <c r="H74" s="101"/>
      <c r="I74" s="101">
        <v>0</v>
      </c>
      <c r="J74" s="101">
        <f>D74*0.21</f>
        <v>383.02949999999998</v>
      </c>
      <c r="K74" s="100">
        <f>J74+D74</f>
        <v>2206.9794999999999</v>
      </c>
      <c r="L74" s="112"/>
    </row>
    <row r="75" spans="1:12" s="126" customFormat="1" ht="15.75" x14ac:dyDescent="0.2">
      <c r="A75" s="127"/>
      <c r="B75" s="171" t="s">
        <v>90</v>
      </c>
      <c r="C75" s="172"/>
      <c r="D75" s="109">
        <f>D62+D65+D71+D72</f>
        <v>325665.76503000001</v>
      </c>
      <c r="E75" s="109"/>
      <c r="F75" s="110">
        <v>0</v>
      </c>
      <c r="G75" s="110"/>
      <c r="H75" s="110">
        <f>H62+H65+H71+H72</f>
        <v>331279.87</v>
      </c>
      <c r="I75" s="110">
        <f>I73</f>
        <v>33.4495</v>
      </c>
      <c r="J75" s="110">
        <f>J74+J71</f>
        <v>63760.634699999995</v>
      </c>
      <c r="K75" s="109">
        <f t="shared" si="10"/>
        <v>325699.21453</v>
      </c>
      <c r="L75" s="111"/>
    </row>
    <row r="76" spans="1:12" ht="15.75" x14ac:dyDescent="0.2">
      <c r="A76" s="98"/>
      <c r="B76" s="192" t="s">
        <v>110</v>
      </c>
      <c r="C76" s="193"/>
      <c r="D76" s="193"/>
      <c r="E76" s="193"/>
      <c r="F76" s="193"/>
      <c r="G76" s="193"/>
      <c r="H76" s="193"/>
      <c r="I76" s="193"/>
      <c r="J76" s="193"/>
      <c r="K76" s="193"/>
      <c r="L76" s="194"/>
    </row>
    <row r="77" spans="1:12" ht="15.75" x14ac:dyDescent="0.2">
      <c r="B77" s="15">
        <v>6.1</v>
      </c>
      <c r="C77" s="16" t="s">
        <v>91</v>
      </c>
      <c r="D77" s="17">
        <v>0</v>
      </c>
      <c r="E77" s="17">
        <v>0</v>
      </c>
      <c r="F77" s="17">
        <v>0</v>
      </c>
      <c r="G77" s="17">
        <v>0</v>
      </c>
      <c r="H77" s="17"/>
      <c r="I77" s="17">
        <v>0</v>
      </c>
      <c r="J77" s="17">
        <v>0</v>
      </c>
      <c r="K77" s="17">
        <v>0</v>
      </c>
      <c r="L77" s="18">
        <v>0</v>
      </c>
    </row>
    <row r="78" spans="1:12" ht="15.75" x14ac:dyDescent="0.2">
      <c r="B78" s="15">
        <v>6.2</v>
      </c>
      <c r="C78" s="16" t="s">
        <v>92</v>
      </c>
      <c r="D78" s="17">
        <v>0</v>
      </c>
      <c r="E78" s="17">
        <v>0</v>
      </c>
      <c r="F78" s="17">
        <v>0</v>
      </c>
      <c r="G78" s="17">
        <v>0</v>
      </c>
      <c r="H78" s="17"/>
      <c r="I78" s="17">
        <v>0</v>
      </c>
      <c r="J78" s="17">
        <v>0</v>
      </c>
      <c r="K78" s="17">
        <v>0</v>
      </c>
      <c r="L78" s="18">
        <v>0</v>
      </c>
    </row>
    <row r="79" spans="1:12" ht="15.75" x14ac:dyDescent="0.2">
      <c r="B79" s="167" t="s">
        <v>93</v>
      </c>
      <c r="C79" s="168"/>
      <c r="D79" s="26">
        <v>0</v>
      </c>
      <c r="E79" s="26">
        <v>0</v>
      </c>
      <c r="F79" s="26">
        <v>0</v>
      </c>
      <c r="G79" s="26">
        <v>0</v>
      </c>
      <c r="H79" s="26"/>
      <c r="I79" s="26">
        <v>0</v>
      </c>
      <c r="J79" s="26">
        <v>0</v>
      </c>
      <c r="K79" s="26">
        <v>0</v>
      </c>
      <c r="L79" s="27">
        <v>0</v>
      </c>
    </row>
    <row r="80" spans="1:12" ht="15.75" x14ac:dyDescent="0.2">
      <c r="B80" s="164" t="s">
        <v>106</v>
      </c>
      <c r="C80" s="165"/>
      <c r="D80" s="165"/>
      <c r="E80" s="165"/>
      <c r="F80" s="165"/>
      <c r="G80" s="165"/>
      <c r="H80" s="165"/>
      <c r="I80" s="165"/>
      <c r="J80" s="165"/>
      <c r="K80" s="165"/>
      <c r="L80" s="166"/>
    </row>
    <row r="81" spans="1:13" ht="15.75" x14ac:dyDescent="0.2">
      <c r="B81" s="15">
        <v>7.1</v>
      </c>
      <c r="C81" s="16" t="s">
        <v>94</v>
      </c>
      <c r="D81" s="17">
        <v>0</v>
      </c>
      <c r="E81" s="17">
        <v>0</v>
      </c>
      <c r="F81" s="31">
        <v>0</v>
      </c>
      <c r="G81" s="31">
        <v>60758.96</v>
      </c>
      <c r="H81" s="31">
        <v>60758.96</v>
      </c>
      <c r="I81" s="17">
        <v>0</v>
      </c>
      <c r="J81" s="17"/>
      <c r="K81" s="31">
        <f t="shared" ref="K81" si="11">D81+F81+I81</f>
        <v>0</v>
      </c>
      <c r="L81" s="35"/>
    </row>
    <row r="82" spans="1:13" ht="31.5" x14ac:dyDescent="0.2">
      <c r="B82" s="15">
        <v>7.2</v>
      </c>
      <c r="C82" s="16" t="s">
        <v>95</v>
      </c>
      <c r="D82" s="17">
        <v>0</v>
      </c>
      <c r="E82" s="17">
        <v>0</v>
      </c>
      <c r="F82" s="31">
        <v>137992.24</v>
      </c>
      <c r="G82" s="31">
        <v>88900.28</v>
      </c>
      <c r="H82" s="31">
        <v>88900.28</v>
      </c>
      <c r="I82" s="17">
        <v>0</v>
      </c>
      <c r="J82" s="17">
        <f>F82*0.21</f>
        <v>28978.370399999996</v>
      </c>
      <c r="K82" s="31">
        <f>D82+F82+I82+J82</f>
        <v>166970.61039999998</v>
      </c>
      <c r="L82" s="35"/>
    </row>
    <row r="83" spans="1:13" s="126" customFormat="1" ht="15.75" x14ac:dyDescent="0.2">
      <c r="A83" s="127"/>
      <c r="B83" s="171" t="s">
        <v>96</v>
      </c>
      <c r="C83" s="172"/>
      <c r="D83" s="110">
        <f>D81+D82</f>
        <v>0</v>
      </c>
      <c r="E83" s="110">
        <v>0</v>
      </c>
      <c r="F83" s="110">
        <f>F81+F82</f>
        <v>137992.24</v>
      </c>
      <c r="G83" s="110">
        <f t="shared" ref="G83:H83" si="12">G81+G82</f>
        <v>149659.24</v>
      </c>
      <c r="H83" s="110">
        <f t="shared" si="12"/>
        <v>149659.24</v>
      </c>
      <c r="I83" s="110">
        <f>I81+I82</f>
        <v>0</v>
      </c>
      <c r="J83" s="110">
        <f>F83*0.21</f>
        <v>28978.370399999996</v>
      </c>
      <c r="K83" s="88">
        <f>D83+F83+I83+J83</f>
        <v>166970.61039999998</v>
      </c>
      <c r="L83" s="111"/>
      <c r="M83" s="127"/>
    </row>
    <row r="84" spans="1:13" ht="15.75" x14ac:dyDescent="0.2">
      <c r="A84" s="98"/>
      <c r="B84" s="169" t="s">
        <v>98</v>
      </c>
      <c r="C84" s="170"/>
      <c r="D84" s="92">
        <f>D15+D18+D46+D60+D75+D79+D83</f>
        <v>2410056.8516966668</v>
      </c>
      <c r="E84" s="92">
        <f>E15+E18+E46+E60+E75+E79+E83</f>
        <v>0</v>
      </c>
      <c r="F84" s="92">
        <f>F15+F18+F46+F60+F75+F79+F83</f>
        <v>148825.56999999998</v>
      </c>
      <c r="G84" s="92">
        <f>G15+G18+G46+G60+G75+G79+G83</f>
        <v>149659.24</v>
      </c>
      <c r="H84" s="92">
        <f>H15+H18+H46+H60+H75+H79+H83</f>
        <v>3296604.0200000005</v>
      </c>
      <c r="I84" s="92">
        <f>I15+I18+I46+I60+I75+I79+I83</f>
        <v>11037.300766666664</v>
      </c>
      <c r="J84" s="92">
        <f>J83+J75+J46</f>
        <v>99740.757899999997</v>
      </c>
      <c r="K84" s="121">
        <f>D84+F84+I84+J84</f>
        <v>2669660.4803633336</v>
      </c>
      <c r="L84" s="122"/>
      <c r="M84" s="98"/>
    </row>
    <row r="85" spans="1:13" ht="15.75" x14ac:dyDescent="0.2">
      <c r="A85" s="98"/>
      <c r="B85" s="171" t="s">
        <v>97</v>
      </c>
      <c r="C85" s="172"/>
      <c r="D85" s="110">
        <f>D15+D18+D48+D53+D63</f>
        <v>1987967.73</v>
      </c>
      <c r="E85" s="110">
        <f>E15+E18+E48+E53+E63</f>
        <v>0</v>
      </c>
      <c r="F85" s="110">
        <f>F15+F18+F48+F53+F63</f>
        <v>0</v>
      </c>
      <c r="G85" s="110">
        <f>G15+G18+G48+G53+G63</f>
        <v>0</v>
      </c>
      <c r="H85" s="110">
        <f>H15+H18+H48+H53+H63</f>
        <v>2698850.73</v>
      </c>
      <c r="I85" s="110"/>
      <c r="J85" s="110">
        <f>D85*0.21</f>
        <v>417473.22329999995</v>
      </c>
      <c r="K85" s="110">
        <f>D85+F85+I85+J85</f>
        <v>2405440.9533000002</v>
      </c>
      <c r="L85" s="111"/>
      <c r="M85" s="98"/>
    </row>
    <row r="86" spans="1:13" x14ac:dyDescent="0.2">
      <c r="A86" s="98"/>
      <c r="B86" s="3"/>
      <c r="C86" s="3"/>
      <c r="D86" s="123"/>
      <c r="E86" s="123"/>
      <c r="F86" s="123"/>
      <c r="G86" s="123"/>
      <c r="H86" s="123"/>
      <c r="I86" s="123"/>
      <c r="J86" s="123"/>
      <c r="K86" s="123"/>
      <c r="L86" s="124"/>
      <c r="M86" s="98"/>
    </row>
    <row r="87" spans="1:13" x14ac:dyDescent="0.2">
      <c r="A87" s="98"/>
      <c r="B87" s="3"/>
      <c r="C87" s="3"/>
      <c r="D87" s="123"/>
      <c r="E87" s="123"/>
      <c r="F87" s="123"/>
      <c r="G87" s="123"/>
      <c r="H87" s="123"/>
      <c r="I87" s="123"/>
      <c r="J87" s="123"/>
      <c r="K87" s="123"/>
      <c r="L87" s="124"/>
      <c r="M87" s="98"/>
    </row>
    <row r="88" spans="1:13" x14ac:dyDescent="0.2">
      <c r="B88" s="3"/>
      <c r="C88" s="3"/>
      <c r="D88" s="4"/>
      <c r="E88" s="4"/>
      <c r="F88" s="4"/>
      <c r="G88" s="4"/>
      <c r="H88" s="4"/>
      <c r="I88" s="4"/>
      <c r="J88" s="4"/>
      <c r="K88" s="4"/>
      <c r="L88" s="5"/>
    </row>
    <row r="89" spans="1:13" s="86" customFormat="1" ht="15.75" x14ac:dyDescent="0.25">
      <c r="B89" s="173"/>
      <c r="C89" s="173"/>
      <c r="D89" s="173"/>
      <c r="E89" s="173"/>
      <c r="F89" s="173"/>
      <c r="G89" s="173"/>
      <c r="H89" s="173"/>
      <c r="I89" s="173"/>
      <c r="J89" s="173"/>
      <c r="K89" s="173"/>
      <c r="L89" s="173"/>
    </row>
    <row r="90" spans="1:13" ht="15.75" x14ac:dyDescent="0.25">
      <c r="C90" s="163" t="s">
        <v>148</v>
      </c>
      <c r="D90" s="205"/>
      <c r="E90" s="205"/>
      <c r="F90" s="205"/>
      <c r="G90" s="205"/>
      <c r="H90" s="205"/>
      <c r="I90" s="205" t="s">
        <v>134</v>
      </c>
      <c r="J90" s="205"/>
    </row>
    <row r="91" spans="1:13" ht="15.75" x14ac:dyDescent="0.2">
      <c r="C91" s="207" t="s">
        <v>147</v>
      </c>
      <c r="D91" s="85"/>
      <c r="E91" s="85"/>
      <c r="F91" s="208" t="s">
        <v>149</v>
      </c>
      <c r="G91" s="208"/>
      <c r="H91" s="208"/>
      <c r="I91" s="208"/>
      <c r="J91" s="208"/>
    </row>
    <row r="93" spans="1:13" x14ac:dyDescent="0.2">
      <c r="D93" s="1"/>
    </row>
  </sheetData>
  <mergeCells count="25">
    <mergeCell ref="F91:J91"/>
    <mergeCell ref="B5:L5"/>
    <mergeCell ref="B6:B7"/>
    <mergeCell ref="C6:C7"/>
    <mergeCell ref="D6:E6"/>
    <mergeCell ref="F6:G6"/>
    <mergeCell ref="K6:L6"/>
    <mergeCell ref="I6:J6"/>
    <mergeCell ref="B79:C79"/>
    <mergeCell ref="B10:L10"/>
    <mergeCell ref="B15:C15"/>
    <mergeCell ref="B17:L17"/>
    <mergeCell ref="B18:C18"/>
    <mergeCell ref="B19:L19"/>
    <mergeCell ref="B46:C46"/>
    <mergeCell ref="B47:L47"/>
    <mergeCell ref="B60:C60"/>
    <mergeCell ref="B61:L61"/>
    <mergeCell ref="B75:C75"/>
    <mergeCell ref="B76:L76"/>
    <mergeCell ref="B80:L80"/>
    <mergeCell ref="B83:C83"/>
    <mergeCell ref="B84:C84"/>
    <mergeCell ref="B85:C85"/>
    <mergeCell ref="B89:L8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647EA-B6C0-4FA4-B42D-B081A367D807}">
  <sheetPr>
    <tabColor rgb="FF92D050"/>
  </sheetPr>
  <dimension ref="A4:O92"/>
  <sheetViews>
    <sheetView zoomScale="85" zoomScaleNormal="85" workbookViewId="0">
      <selection activeCell="C91" sqref="C91:J92"/>
    </sheetView>
  </sheetViews>
  <sheetFormatPr defaultRowHeight="12.75" x14ac:dyDescent="0.2"/>
  <cols>
    <col min="3" max="3" width="52.83203125" customWidth="1"/>
    <col min="4" max="4" width="18.33203125" customWidth="1"/>
    <col min="5" max="5" width="0" hidden="1" customWidth="1"/>
    <col min="6" max="6" width="18.33203125" customWidth="1"/>
    <col min="7" max="8" width="0" hidden="1" customWidth="1"/>
    <col min="9" max="10" width="15" customWidth="1"/>
    <col min="11" max="11" width="17.83203125" customWidth="1"/>
    <col min="12" max="12" width="0" hidden="1" customWidth="1"/>
  </cols>
  <sheetData>
    <row r="4" spans="2:12" ht="15.75" x14ac:dyDescent="0.2"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</row>
    <row r="5" spans="2:12" ht="15.75" x14ac:dyDescent="0.2"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</row>
    <row r="6" spans="2:12" ht="102.75" customHeight="1" x14ac:dyDescent="0.2">
      <c r="B6" s="203" t="s">
        <v>145</v>
      </c>
      <c r="C6" s="204"/>
      <c r="D6" s="204"/>
      <c r="E6" s="204"/>
      <c r="F6" s="204"/>
      <c r="G6" s="204"/>
      <c r="H6" s="204"/>
      <c r="I6" s="204"/>
      <c r="J6" s="204"/>
      <c r="K6" s="204"/>
      <c r="L6" s="204"/>
    </row>
    <row r="7" spans="2:12" ht="45" customHeight="1" x14ac:dyDescent="0.2">
      <c r="B7" s="177" t="s">
        <v>0</v>
      </c>
      <c r="C7" s="179" t="s">
        <v>1</v>
      </c>
      <c r="D7" s="181" t="s">
        <v>2</v>
      </c>
      <c r="E7" s="182"/>
      <c r="F7" s="181" t="s">
        <v>3</v>
      </c>
      <c r="G7" s="182"/>
      <c r="H7" s="129" t="s">
        <v>100</v>
      </c>
      <c r="I7" s="183" t="s">
        <v>4</v>
      </c>
      <c r="J7" s="183"/>
      <c r="K7" s="183" t="s">
        <v>5</v>
      </c>
      <c r="L7" s="183"/>
    </row>
    <row r="8" spans="2:12" ht="15.75" x14ac:dyDescent="0.2">
      <c r="B8" s="178"/>
      <c r="C8" s="180"/>
      <c r="D8" s="44" t="s">
        <v>6</v>
      </c>
      <c r="E8" s="44" t="s">
        <v>7</v>
      </c>
      <c r="F8" s="44" t="s">
        <v>6</v>
      </c>
      <c r="G8" s="44" t="s">
        <v>7</v>
      </c>
      <c r="H8" s="44" t="s">
        <v>6</v>
      </c>
      <c r="I8" s="43" t="s">
        <v>118</v>
      </c>
      <c r="J8" s="43" t="s">
        <v>124</v>
      </c>
      <c r="K8" s="43" t="s">
        <v>6</v>
      </c>
      <c r="L8" s="84" t="s">
        <v>7</v>
      </c>
    </row>
    <row r="9" spans="2:12" ht="15.75" x14ac:dyDescent="0.2">
      <c r="B9" s="45">
        <v>1</v>
      </c>
      <c r="C9" s="46">
        <v>2</v>
      </c>
      <c r="D9" s="46">
        <v>3</v>
      </c>
      <c r="E9" s="46">
        <v>4</v>
      </c>
      <c r="F9" s="46">
        <v>4</v>
      </c>
      <c r="G9" s="46">
        <v>6</v>
      </c>
      <c r="H9" s="46">
        <v>5</v>
      </c>
      <c r="I9" s="46">
        <v>5</v>
      </c>
      <c r="J9" s="46">
        <v>6</v>
      </c>
      <c r="K9" s="46">
        <v>7</v>
      </c>
      <c r="L9" s="47">
        <v>9</v>
      </c>
    </row>
    <row r="10" spans="2:12" ht="15.75" x14ac:dyDescent="0.25"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</row>
    <row r="11" spans="2:12" ht="15.75" x14ac:dyDescent="0.2">
      <c r="B11" s="174" t="s">
        <v>107</v>
      </c>
      <c r="C11" s="175"/>
      <c r="D11" s="175"/>
      <c r="E11" s="175"/>
      <c r="F11" s="175"/>
      <c r="G11" s="175"/>
      <c r="H11" s="175"/>
      <c r="I11" s="175"/>
      <c r="J11" s="175"/>
      <c r="K11" s="175"/>
      <c r="L11" s="176"/>
    </row>
    <row r="12" spans="2:12" ht="15.75" x14ac:dyDescent="0.2">
      <c r="B12" s="49">
        <v>1.1000000000000001</v>
      </c>
      <c r="C12" s="50" t="s">
        <v>8</v>
      </c>
      <c r="D12" s="51">
        <v>0</v>
      </c>
      <c r="E12" s="51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2">
        <v>0</v>
      </c>
    </row>
    <row r="13" spans="2:12" ht="15.75" x14ac:dyDescent="0.2">
      <c r="B13" s="49">
        <v>1.2</v>
      </c>
      <c r="C13" s="50" t="s">
        <v>9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2">
        <v>0</v>
      </c>
    </row>
    <row r="14" spans="2:12" ht="31.5" x14ac:dyDescent="0.2">
      <c r="B14" s="49">
        <v>1.3</v>
      </c>
      <c r="C14" s="50" t="s">
        <v>10</v>
      </c>
      <c r="D14" s="51">
        <v>0</v>
      </c>
      <c r="E14" s="51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2">
        <v>0</v>
      </c>
    </row>
    <row r="15" spans="2:12" ht="15.75" x14ac:dyDescent="0.2">
      <c r="B15" s="49">
        <v>1.4</v>
      </c>
      <c r="C15" s="50" t="s">
        <v>11</v>
      </c>
      <c r="D15" s="51">
        <v>0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2">
        <v>0</v>
      </c>
    </row>
    <row r="16" spans="2:12" ht="15.75" x14ac:dyDescent="0.2">
      <c r="B16" s="171" t="s">
        <v>12</v>
      </c>
      <c r="C16" s="172"/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4">
        <v>0</v>
      </c>
    </row>
    <row r="17" spans="2:12" ht="15.75" x14ac:dyDescent="0.25"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</row>
    <row r="18" spans="2:12" ht="15.75" x14ac:dyDescent="0.2">
      <c r="B18" s="174" t="s">
        <v>102</v>
      </c>
      <c r="C18" s="175"/>
      <c r="D18" s="175"/>
      <c r="E18" s="175"/>
      <c r="F18" s="175"/>
      <c r="G18" s="175"/>
      <c r="H18" s="175"/>
      <c r="I18" s="175"/>
      <c r="J18" s="175"/>
      <c r="K18" s="175"/>
      <c r="L18" s="176"/>
    </row>
    <row r="19" spans="2:12" ht="15.75" x14ac:dyDescent="0.2">
      <c r="B19" s="171" t="s">
        <v>13</v>
      </c>
      <c r="C19" s="172"/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4">
        <v>0</v>
      </c>
    </row>
    <row r="20" spans="2:12" ht="15.75" x14ac:dyDescent="0.2">
      <c r="B20" s="174" t="s">
        <v>130</v>
      </c>
      <c r="C20" s="175"/>
      <c r="D20" s="175"/>
      <c r="E20" s="175"/>
      <c r="F20" s="175"/>
      <c r="G20" s="175"/>
      <c r="H20" s="175"/>
      <c r="I20" s="175"/>
      <c r="J20" s="175"/>
      <c r="K20" s="175"/>
      <c r="L20" s="176"/>
    </row>
    <row r="21" spans="2:12" ht="15.75" customHeight="1" x14ac:dyDescent="0.2">
      <c r="B21" s="15">
        <v>3.1</v>
      </c>
      <c r="C21" s="16" t="s">
        <v>14</v>
      </c>
      <c r="D21" s="17">
        <v>1666.67</v>
      </c>
      <c r="E21" s="17"/>
      <c r="F21" s="17">
        <v>0</v>
      </c>
      <c r="G21" s="17">
        <v>0</v>
      </c>
      <c r="H21" s="17">
        <v>1666.67</v>
      </c>
      <c r="I21" s="17">
        <f t="shared" ref="I21:I26" si="0">D21*0.19</f>
        <v>316.66730000000001</v>
      </c>
      <c r="J21" s="17">
        <v>0</v>
      </c>
      <c r="K21" s="17">
        <f t="shared" ref="K21:K26" si="1">D21+F21+I21</f>
        <v>1983.3373000000001</v>
      </c>
      <c r="L21" s="18"/>
    </row>
    <row r="22" spans="2:12" ht="15.75" x14ac:dyDescent="0.2">
      <c r="B22" s="19" t="s">
        <v>15</v>
      </c>
      <c r="C22" s="16" t="s">
        <v>16</v>
      </c>
      <c r="D22" s="17">
        <v>1666.67</v>
      </c>
      <c r="E22" s="17"/>
      <c r="F22" s="17">
        <v>0</v>
      </c>
      <c r="G22" s="17">
        <v>0</v>
      </c>
      <c r="H22" s="17">
        <v>1666.67</v>
      </c>
      <c r="I22" s="17">
        <f t="shared" si="0"/>
        <v>316.66730000000001</v>
      </c>
      <c r="J22" s="17">
        <v>0</v>
      </c>
      <c r="K22" s="17">
        <f t="shared" si="1"/>
        <v>1983.3373000000001</v>
      </c>
      <c r="L22" s="18"/>
    </row>
    <row r="23" spans="2:12" ht="15.75" x14ac:dyDescent="0.2">
      <c r="B23" s="19" t="s">
        <v>17</v>
      </c>
      <c r="C23" s="16" t="s">
        <v>18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f t="shared" si="0"/>
        <v>0</v>
      </c>
      <c r="J23" s="17">
        <v>0</v>
      </c>
      <c r="K23" s="17">
        <f t="shared" si="1"/>
        <v>0</v>
      </c>
      <c r="L23" s="18">
        <v>0</v>
      </c>
    </row>
    <row r="24" spans="2:12" ht="15.75" x14ac:dyDescent="0.2">
      <c r="B24" s="19" t="s">
        <v>19</v>
      </c>
      <c r="C24" s="16" t="s">
        <v>20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f t="shared" si="0"/>
        <v>0</v>
      </c>
      <c r="J24" s="17">
        <v>0</v>
      </c>
      <c r="K24" s="17">
        <f t="shared" si="1"/>
        <v>0</v>
      </c>
      <c r="L24" s="18">
        <v>0</v>
      </c>
    </row>
    <row r="25" spans="2:12" ht="31.5" x14ac:dyDescent="0.2">
      <c r="B25" s="20">
        <v>3.2</v>
      </c>
      <c r="C25" s="21" t="s">
        <v>21</v>
      </c>
      <c r="D25" s="22">
        <v>166.66666666666666</v>
      </c>
      <c r="E25" s="22"/>
      <c r="F25" s="22">
        <v>0</v>
      </c>
      <c r="G25" s="22">
        <v>0</v>
      </c>
      <c r="H25" s="23">
        <v>166.67</v>
      </c>
      <c r="I25" s="17">
        <f t="shared" si="0"/>
        <v>31.666666666666664</v>
      </c>
      <c r="J25" s="17">
        <v>0</v>
      </c>
      <c r="K25" s="17">
        <f t="shared" si="1"/>
        <v>198.33333333333331</v>
      </c>
      <c r="L25" s="24"/>
    </row>
    <row r="26" spans="2:12" ht="15.75" x14ac:dyDescent="0.2">
      <c r="B26" s="15">
        <v>3.3</v>
      </c>
      <c r="C26" s="16" t="s">
        <v>22</v>
      </c>
      <c r="D26" s="17">
        <v>1250</v>
      </c>
      <c r="E26" s="17"/>
      <c r="F26" s="17">
        <v>0</v>
      </c>
      <c r="G26" s="17">
        <v>0</v>
      </c>
      <c r="H26" s="17">
        <v>1250</v>
      </c>
      <c r="I26" s="17">
        <f t="shared" si="0"/>
        <v>237.5</v>
      </c>
      <c r="J26" s="17">
        <v>0</v>
      </c>
      <c r="K26" s="17">
        <f t="shared" si="1"/>
        <v>1487.5</v>
      </c>
      <c r="L26" s="18"/>
    </row>
    <row r="27" spans="2:12" ht="31.5" x14ac:dyDescent="0.2">
      <c r="B27" s="15">
        <v>3.4</v>
      </c>
      <c r="C27" s="16" t="s">
        <v>23</v>
      </c>
      <c r="D27" s="17">
        <f>D28+D29</f>
        <v>4666.67</v>
      </c>
      <c r="E27" s="17"/>
      <c r="F27" s="17">
        <v>0</v>
      </c>
      <c r="G27" s="17">
        <v>0</v>
      </c>
      <c r="H27" s="17">
        <v>2000</v>
      </c>
      <c r="I27" s="17">
        <f>I28+J29</f>
        <v>966.66729999999995</v>
      </c>
      <c r="J27" s="17"/>
      <c r="K27" s="17">
        <f>K28+K29</f>
        <v>5633.3373000000001</v>
      </c>
      <c r="L27" s="18"/>
    </row>
    <row r="28" spans="2:12" ht="31.5" x14ac:dyDescent="0.2">
      <c r="B28" s="15" t="s">
        <v>113</v>
      </c>
      <c r="C28" s="16" t="s">
        <v>119</v>
      </c>
      <c r="D28" s="17">
        <v>666.67</v>
      </c>
      <c r="E28" s="17"/>
      <c r="F28" s="17">
        <v>0</v>
      </c>
      <c r="G28" s="17"/>
      <c r="H28" s="17"/>
      <c r="I28" s="17">
        <f>D28*0.19</f>
        <v>126.6673</v>
      </c>
      <c r="J28" s="17">
        <v>0</v>
      </c>
      <c r="K28" s="17">
        <f>D28+F28+I28</f>
        <v>793.33729999999991</v>
      </c>
      <c r="L28" s="18"/>
    </row>
    <row r="29" spans="2:12" ht="31.5" x14ac:dyDescent="0.2">
      <c r="B29" s="15" t="s">
        <v>114</v>
      </c>
      <c r="C29" s="16" t="s">
        <v>120</v>
      </c>
      <c r="D29" s="17">
        <v>4000</v>
      </c>
      <c r="E29" s="17"/>
      <c r="F29" s="17">
        <v>0</v>
      </c>
      <c r="G29" s="17"/>
      <c r="H29" s="17"/>
      <c r="I29" s="17">
        <v>0</v>
      </c>
      <c r="J29" s="17">
        <f>D29*0.21</f>
        <v>840</v>
      </c>
      <c r="K29" s="17">
        <f>+D29+F29+I29+J29</f>
        <v>4840</v>
      </c>
      <c r="L29" s="18"/>
    </row>
    <row r="30" spans="2:12" ht="15.75" x14ac:dyDescent="0.2">
      <c r="B30" s="15">
        <v>3.5</v>
      </c>
      <c r="C30" s="16" t="s">
        <v>24</v>
      </c>
      <c r="D30" s="17">
        <f>D31+D32+D33+D34+D35+D36</f>
        <v>48331.67</v>
      </c>
      <c r="E30" s="17"/>
      <c r="F30" s="17">
        <v>0</v>
      </c>
      <c r="G30" s="17">
        <v>0</v>
      </c>
      <c r="H30" s="17">
        <v>48164.17</v>
      </c>
      <c r="I30" s="17">
        <f t="shared" ref="I30:I36" si="2">D30*0.19</f>
        <v>9183.0172999999995</v>
      </c>
      <c r="J30" s="17">
        <v>0</v>
      </c>
      <c r="K30" s="17">
        <f t="shared" ref="K30:K37" si="3">D30+F30+I30</f>
        <v>57514.687299999998</v>
      </c>
      <c r="L30" s="18"/>
    </row>
    <row r="31" spans="2:12" ht="15.75" x14ac:dyDescent="0.2">
      <c r="B31" s="19" t="s">
        <v>25</v>
      </c>
      <c r="C31" s="16" t="s">
        <v>26</v>
      </c>
      <c r="D31" s="17">
        <v>0</v>
      </c>
      <c r="E31" s="17"/>
      <c r="F31" s="17">
        <v>0</v>
      </c>
      <c r="G31" s="17">
        <v>0</v>
      </c>
      <c r="H31" s="17">
        <v>0</v>
      </c>
      <c r="I31" s="17">
        <f t="shared" si="2"/>
        <v>0</v>
      </c>
      <c r="J31" s="17">
        <v>0</v>
      </c>
      <c r="K31" s="17">
        <f t="shared" si="3"/>
        <v>0</v>
      </c>
      <c r="L31" s="18"/>
    </row>
    <row r="32" spans="2:12" ht="15.75" x14ac:dyDescent="0.2">
      <c r="B32" s="19" t="s">
        <v>27</v>
      </c>
      <c r="C32" s="16" t="s">
        <v>28</v>
      </c>
      <c r="D32" s="17">
        <v>0</v>
      </c>
      <c r="E32" s="17"/>
      <c r="F32" s="17">
        <v>0</v>
      </c>
      <c r="G32" s="17">
        <v>0</v>
      </c>
      <c r="H32" s="17">
        <v>0</v>
      </c>
      <c r="I32" s="17">
        <f t="shared" si="2"/>
        <v>0</v>
      </c>
      <c r="J32" s="17">
        <v>0</v>
      </c>
      <c r="K32" s="17">
        <f t="shared" si="3"/>
        <v>0</v>
      </c>
      <c r="L32" s="18"/>
    </row>
    <row r="33" spans="2:12" ht="31.5" x14ac:dyDescent="0.2">
      <c r="B33" s="19" t="s">
        <v>29</v>
      </c>
      <c r="C33" s="16" t="s">
        <v>30</v>
      </c>
      <c r="D33" s="17">
        <v>5000</v>
      </c>
      <c r="E33" s="17"/>
      <c r="F33" s="17">
        <v>0</v>
      </c>
      <c r="G33" s="17">
        <v>0</v>
      </c>
      <c r="H33" s="17">
        <v>5000</v>
      </c>
      <c r="I33" s="17">
        <f t="shared" si="2"/>
        <v>950</v>
      </c>
      <c r="J33" s="17">
        <v>0</v>
      </c>
      <c r="K33" s="17">
        <f t="shared" si="3"/>
        <v>5950</v>
      </c>
      <c r="L33" s="18"/>
    </row>
    <row r="34" spans="2:12" ht="31.5" x14ac:dyDescent="0.2">
      <c r="B34" s="19" t="s">
        <v>31</v>
      </c>
      <c r="C34" s="16" t="s">
        <v>32</v>
      </c>
      <c r="D34" s="53">
        <v>166.67</v>
      </c>
      <c r="E34" s="53"/>
      <c r="F34" s="53">
        <v>0</v>
      </c>
      <c r="G34" s="53"/>
      <c r="H34" s="53">
        <v>1500</v>
      </c>
      <c r="I34" s="53">
        <f t="shared" si="2"/>
        <v>31.667299999999997</v>
      </c>
      <c r="J34" s="53">
        <v>0</v>
      </c>
      <c r="K34" s="53">
        <f t="shared" si="3"/>
        <v>198.33729999999997</v>
      </c>
      <c r="L34" s="54"/>
    </row>
    <row r="35" spans="2:12" ht="31.5" x14ac:dyDescent="0.2">
      <c r="B35" s="19" t="s">
        <v>33</v>
      </c>
      <c r="C35" s="16" t="s">
        <v>34</v>
      </c>
      <c r="D35" s="17">
        <v>5500.83</v>
      </c>
      <c r="E35" s="17"/>
      <c r="F35" s="17">
        <v>0</v>
      </c>
      <c r="G35" s="17"/>
      <c r="H35" s="17">
        <v>5500</v>
      </c>
      <c r="I35" s="17">
        <f t="shared" si="2"/>
        <v>1045.1577</v>
      </c>
      <c r="J35" s="17">
        <v>0</v>
      </c>
      <c r="K35" s="17">
        <f t="shared" si="3"/>
        <v>6545.9876999999997</v>
      </c>
      <c r="L35" s="18"/>
    </row>
    <row r="36" spans="2:12" ht="15.75" x14ac:dyDescent="0.2">
      <c r="B36" s="19" t="s">
        <v>35</v>
      </c>
      <c r="C36" s="16" t="s">
        <v>36</v>
      </c>
      <c r="D36" s="17">
        <v>37664.17</v>
      </c>
      <c r="E36" s="17"/>
      <c r="F36" s="17">
        <v>0</v>
      </c>
      <c r="G36" s="17"/>
      <c r="H36" s="17">
        <v>36164.17</v>
      </c>
      <c r="I36" s="17">
        <f t="shared" si="2"/>
        <v>7156.1922999999997</v>
      </c>
      <c r="J36" s="17">
        <v>0</v>
      </c>
      <c r="K36" s="17">
        <f t="shared" si="3"/>
        <v>44820.362300000001</v>
      </c>
      <c r="L36" s="18"/>
    </row>
    <row r="37" spans="2:12" ht="15.75" x14ac:dyDescent="0.2">
      <c r="B37" s="15">
        <v>3.6</v>
      </c>
      <c r="C37" s="16" t="s">
        <v>37</v>
      </c>
      <c r="D37" s="17">
        <v>0</v>
      </c>
      <c r="E37" s="17"/>
      <c r="F37" s="17">
        <v>5833.33</v>
      </c>
      <c r="G37" s="17"/>
      <c r="H37" s="17">
        <v>6000</v>
      </c>
      <c r="I37" s="17">
        <f>(D37+F37)*0.19</f>
        <v>1108.3326999999999</v>
      </c>
      <c r="J37" s="17">
        <v>0</v>
      </c>
      <c r="K37" s="17">
        <f t="shared" si="3"/>
        <v>6941.6626999999999</v>
      </c>
      <c r="L37" s="18"/>
    </row>
    <row r="38" spans="2:12" ht="15.75" x14ac:dyDescent="0.2">
      <c r="B38" s="15">
        <v>3.7</v>
      </c>
      <c r="C38" s="16" t="s">
        <v>38</v>
      </c>
      <c r="D38" s="17">
        <v>0</v>
      </c>
      <c r="E38" s="17"/>
      <c r="F38" s="17">
        <v>5000</v>
      </c>
      <c r="G38" s="17"/>
      <c r="H38" s="17">
        <v>5000</v>
      </c>
      <c r="I38" s="17">
        <v>0</v>
      </c>
      <c r="J38" s="17">
        <f>F38*0.21</f>
        <v>1050</v>
      </c>
      <c r="K38" s="17">
        <f>D38+F38+I38+J38</f>
        <v>6050</v>
      </c>
      <c r="L38" s="18"/>
    </row>
    <row r="39" spans="2:12" ht="31.5" x14ac:dyDescent="0.2">
      <c r="B39" s="19" t="s">
        <v>39</v>
      </c>
      <c r="C39" s="16" t="s">
        <v>40</v>
      </c>
      <c r="D39" s="17">
        <v>0</v>
      </c>
      <c r="E39" s="17"/>
      <c r="F39" s="17">
        <v>4000</v>
      </c>
      <c r="G39" s="17"/>
      <c r="H39" s="17">
        <v>4000</v>
      </c>
      <c r="I39" s="17">
        <v>0</v>
      </c>
      <c r="J39" s="17">
        <f>F39*0.21</f>
        <v>840</v>
      </c>
      <c r="K39" s="17">
        <f>D39+F39+I39+J39</f>
        <v>4840</v>
      </c>
      <c r="L39" s="18"/>
    </row>
    <row r="40" spans="2:12" ht="15.75" x14ac:dyDescent="0.2">
      <c r="B40" s="19" t="s">
        <v>41</v>
      </c>
      <c r="C40" s="16" t="s">
        <v>42</v>
      </c>
      <c r="D40" s="17">
        <v>0</v>
      </c>
      <c r="E40" s="17"/>
      <c r="F40" s="17">
        <v>1000</v>
      </c>
      <c r="G40" s="17"/>
      <c r="H40" s="17">
        <v>1000</v>
      </c>
      <c r="I40" s="17">
        <v>0</v>
      </c>
      <c r="J40" s="17">
        <f>F40*0.21</f>
        <v>210</v>
      </c>
      <c r="K40" s="17">
        <f>D40+F40+I40+J40</f>
        <v>1210</v>
      </c>
      <c r="L40" s="18"/>
    </row>
    <row r="41" spans="2:12" ht="15.75" x14ac:dyDescent="0.2">
      <c r="B41" s="15">
        <v>3.8</v>
      </c>
      <c r="C41" s="16" t="s">
        <v>43</v>
      </c>
      <c r="D41" s="17">
        <f>D42+D45+D46</f>
        <v>24341.679999999997</v>
      </c>
      <c r="E41" s="17"/>
      <c r="F41" s="17">
        <v>0</v>
      </c>
      <c r="G41" s="17"/>
      <c r="H41" s="17">
        <v>27566.67</v>
      </c>
      <c r="I41" s="17">
        <v>0</v>
      </c>
      <c r="J41" s="17">
        <f>D41*0.21</f>
        <v>5111.7527999999993</v>
      </c>
      <c r="K41" s="17">
        <f>D41+F41+I41+J41</f>
        <v>29453.432799999995</v>
      </c>
      <c r="L41" s="18"/>
    </row>
    <row r="42" spans="2:12" ht="15.75" x14ac:dyDescent="0.2">
      <c r="B42" s="19" t="s">
        <v>44</v>
      </c>
      <c r="C42" s="16" t="s">
        <v>45</v>
      </c>
      <c r="D42" s="17">
        <v>1666.67</v>
      </c>
      <c r="E42" s="17"/>
      <c r="F42" s="17">
        <v>0</v>
      </c>
      <c r="G42" s="17"/>
      <c r="H42" s="17">
        <v>1666.67</v>
      </c>
      <c r="I42" s="17">
        <v>0</v>
      </c>
      <c r="J42" s="17">
        <f t="shared" ref="J42:J46" si="4">D42*0.21</f>
        <v>350.00069999999999</v>
      </c>
      <c r="K42" s="17">
        <f t="shared" ref="K42:K44" si="5">D42+F42+I42+J42</f>
        <v>2016.6707000000001</v>
      </c>
      <c r="L42" s="18"/>
    </row>
    <row r="43" spans="2:12" ht="15.75" x14ac:dyDescent="0.2">
      <c r="B43" s="19" t="s">
        <v>46</v>
      </c>
      <c r="C43" s="16" t="s">
        <v>47</v>
      </c>
      <c r="D43" s="17">
        <v>1000</v>
      </c>
      <c r="E43" s="17"/>
      <c r="F43" s="17">
        <v>0</v>
      </c>
      <c r="G43" s="17"/>
      <c r="H43" s="17">
        <v>1000</v>
      </c>
      <c r="I43" s="17">
        <v>0</v>
      </c>
      <c r="J43" s="17">
        <f t="shared" si="4"/>
        <v>210</v>
      </c>
      <c r="K43" s="17">
        <f t="shared" si="5"/>
        <v>1210</v>
      </c>
      <c r="L43" s="18"/>
    </row>
    <row r="44" spans="2:12" ht="47.25" x14ac:dyDescent="0.2">
      <c r="B44" s="19" t="s">
        <v>48</v>
      </c>
      <c r="C44" s="16" t="s">
        <v>49</v>
      </c>
      <c r="D44" s="17">
        <v>666.67</v>
      </c>
      <c r="E44" s="17"/>
      <c r="F44" s="17">
        <v>0</v>
      </c>
      <c r="G44" s="17"/>
      <c r="H44" s="17">
        <v>666.67</v>
      </c>
      <c r="I44" s="17">
        <v>0</v>
      </c>
      <c r="J44" s="17">
        <f t="shared" si="4"/>
        <v>140.00069999999999</v>
      </c>
      <c r="K44" s="17">
        <f t="shared" si="5"/>
        <v>806.6706999999999</v>
      </c>
      <c r="L44" s="18"/>
    </row>
    <row r="45" spans="2:12" ht="15.75" x14ac:dyDescent="0.2">
      <c r="B45" s="19" t="s">
        <v>50</v>
      </c>
      <c r="C45" s="16" t="s">
        <v>51</v>
      </c>
      <c r="D45" s="17">
        <v>20416.669999999998</v>
      </c>
      <c r="E45" s="17"/>
      <c r="F45" s="17">
        <v>0</v>
      </c>
      <c r="G45" s="17"/>
      <c r="H45" s="17">
        <v>21500</v>
      </c>
      <c r="I45" s="17">
        <v>0</v>
      </c>
      <c r="J45" s="17">
        <f t="shared" si="4"/>
        <v>4287.5006999999996</v>
      </c>
      <c r="K45" s="17">
        <f>D45+F45+I45+J45</f>
        <v>24704.170699999999</v>
      </c>
      <c r="L45" s="18"/>
    </row>
    <row r="46" spans="2:12" ht="47.25" x14ac:dyDescent="0.2">
      <c r="B46" s="25" t="s">
        <v>52</v>
      </c>
      <c r="C46" s="21" t="s">
        <v>53</v>
      </c>
      <c r="D46" s="22">
        <v>2258.34</v>
      </c>
      <c r="E46" s="22"/>
      <c r="F46" s="22">
        <v>0</v>
      </c>
      <c r="G46" s="22"/>
      <c r="H46" s="23">
        <v>4400</v>
      </c>
      <c r="I46" s="17">
        <v>0</v>
      </c>
      <c r="J46" s="17">
        <f t="shared" si="4"/>
        <v>474.25139999999999</v>
      </c>
      <c r="K46" s="17">
        <f>D46+F46+I46+J46</f>
        <v>2732.5914000000002</v>
      </c>
      <c r="L46" s="24"/>
    </row>
    <row r="47" spans="2:12" ht="15.75" x14ac:dyDescent="0.2">
      <c r="B47" s="167" t="s">
        <v>54</v>
      </c>
      <c r="C47" s="168"/>
      <c r="D47" s="26">
        <f>D21+D25+D26+D27+D30+D37+D38+D41</f>
        <v>80423.356666666659</v>
      </c>
      <c r="E47" s="26"/>
      <c r="F47" s="26">
        <f>F21+F25+F26+F27+F30+F37+F38+F41</f>
        <v>10833.33</v>
      </c>
      <c r="G47" s="26"/>
      <c r="H47" s="26">
        <f>H21+H25+H26+H27+H30+H37+H38+H41</f>
        <v>91814.18</v>
      </c>
      <c r="I47" s="26">
        <f>I37+I30+I28+I26+I21+I25</f>
        <v>11003.851266666663</v>
      </c>
      <c r="J47" s="26">
        <f>J41+J38+J29</f>
        <v>7001.7527999999993</v>
      </c>
      <c r="K47" s="26">
        <f>D47+F47+I47+J47</f>
        <v>109262.29073333333</v>
      </c>
      <c r="L47" s="27"/>
    </row>
    <row r="48" spans="2:12" ht="15.75" x14ac:dyDescent="0.2">
      <c r="B48" s="164" t="s">
        <v>103</v>
      </c>
      <c r="C48" s="165"/>
      <c r="D48" s="165"/>
      <c r="E48" s="165"/>
      <c r="F48" s="165"/>
      <c r="G48" s="165"/>
      <c r="H48" s="165"/>
      <c r="I48" s="165"/>
      <c r="J48" s="165"/>
      <c r="K48" s="165"/>
      <c r="L48" s="166"/>
    </row>
    <row r="49" spans="2:12" s="98" customFormat="1" ht="15.75" x14ac:dyDescent="0.2">
      <c r="B49" s="99">
        <v>4.0999999999999996</v>
      </c>
      <c r="C49" s="50" t="s">
        <v>55</v>
      </c>
      <c r="D49" s="100">
        <f>D50+D51+D52+D53</f>
        <v>1249813.0999999999</v>
      </c>
      <c r="E49" s="100"/>
      <c r="F49" s="101">
        <v>0</v>
      </c>
      <c r="G49" s="101"/>
      <c r="H49" s="101">
        <v>2406860.88</v>
      </c>
      <c r="I49" s="101">
        <v>0</v>
      </c>
      <c r="J49" s="101">
        <f>D49*0.21</f>
        <v>262460.75099999999</v>
      </c>
      <c r="K49" s="100">
        <f>D49+F49+I49+J49</f>
        <v>1512273.8509999998</v>
      </c>
      <c r="L49" s="102"/>
    </row>
    <row r="50" spans="2:12" s="98" customFormat="1" ht="15.75" x14ac:dyDescent="0.2">
      <c r="B50" s="103" t="s">
        <v>56</v>
      </c>
      <c r="C50" s="104" t="s">
        <v>57</v>
      </c>
      <c r="D50" s="105">
        <v>1145791.03</v>
      </c>
      <c r="E50" s="105"/>
      <c r="F50" s="101">
        <v>0</v>
      </c>
      <c r="G50" s="106"/>
      <c r="H50" s="106">
        <v>2403510.35</v>
      </c>
      <c r="I50" s="101">
        <v>0</v>
      </c>
      <c r="J50" s="101">
        <f t="shared" ref="J50:J61" si="6">D50*0.21</f>
        <v>240616.11629999999</v>
      </c>
      <c r="K50" s="100">
        <f t="shared" ref="K50:K61" si="7">D50+F50+I50+J50</f>
        <v>1386407.1463000001</v>
      </c>
      <c r="L50" s="107"/>
    </row>
    <row r="51" spans="2:12" s="98" customFormat="1" ht="15.75" x14ac:dyDescent="0.2">
      <c r="B51" s="103" t="s">
        <v>58</v>
      </c>
      <c r="C51" s="104" t="s">
        <v>61</v>
      </c>
      <c r="D51" s="106">
        <v>4195.13</v>
      </c>
      <c r="E51" s="106"/>
      <c r="F51" s="101">
        <v>0</v>
      </c>
      <c r="G51" s="106"/>
      <c r="H51" s="106">
        <v>2929.96</v>
      </c>
      <c r="I51" s="101">
        <v>0</v>
      </c>
      <c r="J51" s="101">
        <f t="shared" si="6"/>
        <v>880.97730000000001</v>
      </c>
      <c r="K51" s="100">
        <f t="shared" si="7"/>
        <v>5076.1072999999997</v>
      </c>
      <c r="L51" s="108"/>
    </row>
    <row r="52" spans="2:12" s="98" customFormat="1" ht="15.75" x14ac:dyDescent="0.2">
      <c r="B52" s="103" t="s">
        <v>60</v>
      </c>
      <c r="C52" s="104" t="s">
        <v>59</v>
      </c>
      <c r="D52" s="105">
        <v>490.48</v>
      </c>
      <c r="E52" s="106"/>
      <c r="F52" s="101">
        <v>0</v>
      </c>
      <c r="G52" s="106"/>
      <c r="H52" s="106">
        <v>420.57</v>
      </c>
      <c r="I52" s="101">
        <v>0</v>
      </c>
      <c r="J52" s="101">
        <f t="shared" si="6"/>
        <v>103.0008</v>
      </c>
      <c r="K52" s="100">
        <f t="shared" si="7"/>
        <v>593.48080000000004</v>
      </c>
      <c r="L52" s="108"/>
    </row>
    <row r="53" spans="2:12" s="98" customFormat="1" ht="15.75" x14ac:dyDescent="0.2">
      <c r="B53" s="103" t="s">
        <v>99</v>
      </c>
      <c r="C53" s="104" t="s">
        <v>64</v>
      </c>
      <c r="D53" s="105">
        <v>99336.46</v>
      </c>
      <c r="E53" s="106"/>
      <c r="F53" s="101">
        <v>0</v>
      </c>
      <c r="G53" s="106"/>
      <c r="H53" s="106">
        <v>0</v>
      </c>
      <c r="I53" s="101">
        <v>0</v>
      </c>
      <c r="J53" s="101">
        <f t="shared" si="6"/>
        <v>20860.656600000002</v>
      </c>
      <c r="K53" s="100">
        <f t="shared" si="7"/>
        <v>120197.11660000001</v>
      </c>
      <c r="L53" s="108"/>
    </row>
    <row r="54" spans="2:12" s="98" customFormat="1" ht="31.5" x14ac:dyDescent="0.2">
      <c r="B54" s="99">
        <v>4.2</v>
      </c>
      <c r="C54" s="50" t="s">
        <v>62</v>
      </c>
      <c r="D54" s="100">
        <f>D55</f>
        <v>42194.29</v>
      </c>
      <c r="E54" s="100"/>
      <c r="F54" s="101">
        <v>0</v>
      </c>
      <c r="G54" s="101"/>
      <c r="H54" s="101">
        <v>241989.85</v>
      </c>
      <c r="I54" s="101">
        <v>0</v>
      </c>
      <c r="J54" s="101">
        <f t="shared" si="6"/>
        <v>8860.8009000000002</v>
      </c>
      <c r="K54" s="100">
        <f t="shared" si="7"/>
        <v>51055.090900000003</v>
      </c>
      <c r="L54" s="102"/>
    </row>
    <row r="55" spans="2:12" s="98" customFormat="1" ht="15.75" x14ac:dyDescent="0.2">
      <c r="B55" s="103" t="s">
        <v>65</v>
      </c>
      <c r="C55" s="104" t="s">
        <v>61</v>
      </c>
      <c r="D55" s="105">
        <v>42194.29</v>
      </c>
      <c r="E55" s="105"/>
      <c r="F55" s="101">
        <v>0</v>
      </c>
      <c r="G55" s="106"/>
      <c r="H55" s="106">
        <v>37507.370000000003</v>
      </c>
      <c r="I55" s="101">
        <v>0</v>
      </c>
      <c r="J55" s="101">
        <f t="shared" si="6"/>
        <v>8860.8009000000002</v>
      </c>
      <c r="K55" s="100">
        <f t="shared" si="7"/>
        <v>51055.090900000003</v>
      </c>
      <c r="L55" s="107"/>
    </row>
    <row r="56" spans="2:12" s="98" customFormat="1" ht="31.5" x14ac:dyDescent="0.2">
      <c r="B56" s="99">
        <v>4.3</v>
      </c>
      <c r="C56" s="50" t="s">
        <v>66</v>
      </c>
      <c r="D56" s="100">
        <f>D57</f>
        <v>16000</v>
      </c>
      <c r="E56" s="100"/>
      <c r="F56" s="101">
        <v>0</v>
      </c>
      <c r="G56" s="101"/>
      <c r="H56" s="101">
        <v>75000</v>
      </c>
      <c r="I56" s="101">
        <v>0</v>
      </c>
      <c r="J56" s="101">
        <f t="shared" si="6"/>
        <v>3360</v>
      </c>
      <c r="K56" s="100">
        <f t="shared" si="7"/>
        <v>19360</v>
      </c>
      <c r="L56" s="102"/>
    </row>
    <row r="57" spans="2:12" s="98" customFormat="1" ht="15.75" x14ac:dyDescent="0.2">
      <c r="B57" s="103" t="s">
        <v>67</v>
      </c>
      <c r="C57" s="104" t="s">
        <v>61</v>
      </c>
      <c r="D57" s="105">
        <v>16000</v>
      </c>
      <c r="E57" s="105"/>
      <c r="F57" s="101">
        <v>0</v>
      </c>
      <c r="G57" s="106"/>
      <c r="H57" s="106">
        <v>75000</v>
      </c>
      <c r="I57" s="101">
        <v>0</v>
      </c>
      <c r="J57" s="101">
        <f t="shared" si="6"/>
        <v>3360</v>
      </c>
      <c r="K57" s="100">
        <f t="shared" si="7"/>
        <v>19360</v>
      </c>
      <c r="L57" s="107"/>
    </row>
    <row r="58" spans="2:12" s="98" customFormat="1" ht="47.25" x14ac:dyDescent="0.2">
      <c r="B58" s="99">
        <v>4.4000000000000004</v>
      </c>
      <c r="C58" s="50" t="s">
        <v>68</v>
      </c>
      <c r="D58" s="101">
        <v>0</v>
      </c>
      <c r="E58" s="101"/>
      <c r="F58" s="101">
        <v>0</v>
      </c>
      <c r="G58" s="101"/>
      <c r="H58" s="101">
        <v>0</v>
      </c>
      <c r="I58" s="101">
        <v>0</v>
      </c>
      <c r="J58" s="101">
        <f t="shared" si="6"/>
        <v>0</v>
      </c>
      <c r="K58" s="100">
        <f t="shared" si="7"/>
        <v>0</v>
      </c>
      <c r="L58" s="112"/>
    </row>
    <row r="59" spans="2:12" s="98" customFormat="1" ht="15.75" x14ac:dyDescent="0.2">
      <c r="B59" s="99">
        <v>4.5</v>
      </c>
      <c r="C59" s="50" t="s">
        <v>69</v>
      </c>
      <c r="D59" s="101">
        <v>0</v>
      </c>
      <c r="E59" s="101"/>
      <c r="F59" s="101">
        <v>0</v>
      </c>
      <c r="G59" s="101"/>
      <c r="H59" s="101">
        <v>0</v>
      </c>
      <c r="I59" s="101">
        <v>0</v>
      </c>
      <c r="J59" s="101">
        <f t="shared" si="6"/>
        <v>0</v>
      </c>
      <c r="K59" s="100">
        <f t="shared" si="7"/>
        <v>0</v>
      </c>
      <c r="L59" s="112"/>
    </row>
    <row r="60" spans="2:12" s="98" customFormat="1" ht="15.75" x14ac:dyDescent="0.2">
      <c r="B60" s="99">
        <v>4.5999999999999996</v>
      </c>
      <c r="C60" s="50" t="s">
        <v>70</v>
      </c>
      <c r="D60" s="101">
        <v>0</v>
      </c>
      <c r="E60" s="101"/>
      <c r="F60" s="101">
        <v>0</v>
      </c>
      <c r="G60" s="101"/>
      <c r="H60" s="101">
        <v>0</v>
      </c>
      <c r="I60" s="101">
        <f t="shared" ref="I60" si="8">D60*0.19</f>
        <v>0</v>
      </c>
      <c r="J60" s="101">
        <f t="shared" si="6"/>
        <v>0</v>
      </c>
      <c r="K60" s="100">
        <f t="shared" si="7"/>
        <v>0</v>
      </c>
      <c r="L60" s="112"/>
    </row>
    <row r="61" spans="2:12" s="127" customFormat="1" ht="15.75" x14ac:dyDescent="0.2">
      <c r="B61" s="171" t="s">
        <v>71</v>
      </c>
      <c r="C61" s="172"/>
      <c r="D61" s="152">
        <f>D49+D54+D56+D58+D59+D60</f>
        <v>1308007.3899999999</v>
      </c>
      <c r="E61" s="109"/>
      <c r="F61" s="110">
        <v>0</v>
      </c>
      <c r="G61" s="110"/>
      <c r="H61" s="110">
        <f>H49+H54+H56+H58+H59+H60</f>
        <v>2723850.73</v>
      </c>
      <c r="I61" s="110">
        <v>0</v>
      </c>
      <c r="J61" s="110">
        <f t="shared" si="6"/>
        <v>274681.55189999996</v>
      </c>
      <c r="K61" s="109">
        <f t="shared" si="7"/>
        <v>1582688.9419</v>
      </c>
      <c r="L61" s="111"/>
    </row>
    <row r="62" spans="2:12" s="98" customFormat="1" ht="15.75" x14ac:dyDescent="0.2">
      <c r="B62" s="192" t="s">
        <v>109</v>
      </c>
      <c r="C62" s="193"/>
      <c r="D62" s="193"/>
      <c r="E62" s="193"/>
      <c r="F62" s="193"/>
      <c r="G62" s="193"/>
      <c r="H62" s="193"/>
      <c r="I62" s="193"/>
      <c r="J62" s="193"/>
      <c r="K62" s="193"/>
      <c r="L62" s="194"/>
    </row>
    <row r="63" spans="2:12" ht="15.75" x14ac:dyDescent="0.2">
      <c r="B63" s="15">
        <v>5.0999999999999996</v>
      </c>
      <c r="C63" s="16" t="s">
        <v>72</v>
      </c>
      <c r="D63" s="31">
        <v>0</v>
      </c>
      <c r="E63" s="31"/>
      <c r="F63" s="17">
        <v>0</v>
      </c>
      <c r="G63" s="17"/>
      <c r="H63" s="17">
        <v>60000</v>
      </c>
      <c r="I63" s="17">
        <f>D63*0.21</f>
        <v>0</v>
      </c>
      <c r="J63" s="17">
        <v>0</v>
      </c>
      <c r="K63" s="31">
        <f t="shared" ref="K63:K73" si="9">D63+F63+I63</f>
        <v>0</v>
      </c>
      <c r="L63" s="35"/>
    </row>
    <row r="64" spans="2:12" ht="31.5" x14ac:dyDescent="0.2">
      <c r="B64" s="19" t="s">
        <v>73</v>
      </c>
      <c r="C64" s="16" t="s">
        <v>74</v>
      </c>
      <c r="D64" s="31">
        <v>0</v>
      </c>
      <c r="E64" s="31"/>
      <c r="F64" s="17">
        <v>0</v>
      </c>
      <c r="G64" s="17"/>
      <c r="H64" s="17">
        <v>50000</v>
      </c>
      <c r="I64" s="17">
        <f>D64*0.21</f>
        <v>0</v>
      </c>
      <c r="J64" s="17">
        <v>0</v>
      </c>
      <c r="K64" s="31">
        <f t="shared" si="9"/>
        <v>0</v>
      </c>
      <c r="L64" s="35"/>
    </row>
    <row r="65" spans="1:15" ht="15.75" x14ac:dyDescent="0.2">
      <c r="B65" s="25" t="s">
        <v>75</v>
      </c>
      <c r="C65" s="21" t="s">
        <v>76</v>
      </c>
      <c r="D65" s="36">
        <v>0</v>
      </c>
      <c r="E65" s="36"/>
      <c r="F65" s="17">
        <v>0</v>
      </c>
      <c r="G65" s="22"/>
      <c r="H65" s="23">
        <v>10000</v>
      </c>
      <c r="I65" s="17">
        <f>D65*0.21</f>
        <v>0</v>
      </c>
      <c r="J65" s="17">
        <v>0</v>
      </c>
      <c r="K65" s="31">
        <f t="shared" si="9"/>
        <v>0</v>
      </c>
      <c r="L65" s="37"/>
    </row>
    <row r="66" spans="1:15" ht="15.75" x14ac:dyDescent="0.2">
      <c r="A66" s="98"/>
      <c r="B66" s="99">
        <v>5.2</v>
      </c>
      <c r="C66" s="50" t="s">
        <v>77</v>
      </c>
      <c r="D66" s="100">
        <f>D67+D69+D68+D70+D71</f>
        <v>14212.081289999998</v>
      </c>
      <c r="E66" s="100"/>
      <c r="F66" s="101">
        <v>0</v>
      </c>
      <c r="G66" s="101"/>
      <c r="H66" s="101">
        <v>26977.06</v>
      </c>
      <c r="I66" s="101">
        <f>I67+I68+I69+I70+I71</f>
        <v>0</v>
      </c>
      <c r="J66" s="101">
        <v>0</v>
      </c>
      <c r="K66" s="100">
        <f t="shared" si="9"/>
        <v>14212.081289999998</v>
      </c>
      <c r="L66" s="102"/>
      <c r="M66" s="98"/>
      <c r="N66" s="98"/>
      <c r="O66" s="98"/>
    </row>
    <row r="67" spans="1:15" ht="31.5" x14ac:dyDescent="0.2">
      <c r="A67" s="98"/>
      <c r="B67" s="113" t="s">
        <v>78</v>
      </c>
      <c r="C67" s="50" t="s">
        <v>79</v>
      </c>
      <c r="D67" s="101">
        <v>0</v>
      </c>
      <c r="E67" s="101"/>
      <c r="F67" s="101">
        <v>0</v>
      </c>
      <c r="G67" s="101"/>
      <c r="H67" s="101">
        <v>0</v>
      </c>
      <c r="I67" s="101">
        <f>D67*0.21</f>
        <v>0</v>
      </c>
      <c r="J67" s="101">
        <v>0</v>
      </c>
      <c r="K67" s="100">
        <f t="shared" si="9"/>
        <v>0</v>
      </c>
      <c r="L67" s="112"/>
      <c r="M67" s="98"/>
      <c r="N67" s="98"/>
      <c r="O67" s="98"/>
    </row>
    <row r="68" spans="1:15" ht="31.5" x14ac:dyDescent="0.2">
      <c r="A68" s="98"/>
      <c r="B68" s="113" t="s">
        <v>80</v>
      </c>
      <c r="C68" s="50" t="s">
        <v>81</v>
      </c>
      <c r="D68" s="100">
        <f>D86*0.005</f>
        <v>6460.0369499999997</v>
      </c>
      <c r="E68" s="100"/>
      <c r="F68" s="101">
        <v>0</v>
      </c>
      <c r="G68" s="101"/>
      <c r="H68" s="101">
        <v>12262.3</v>
      </c>
      <c r="I68" s="101">
        <v>0</v>
      </c>
      <c r="J68" s="101">
        <v>0</v>
      </c>
      <c r="K68" s="100">
        <f t="shared" si="9"/>
        <v>6460.0369499999997</v>
      </c>
      <c r="L68" s="102"/>
      <c r="M68" s="98"/>
      <c r="N68" s="98"/>
      <c r="O68" s="98"/>
    </row>
    <row r="69" spans="1:15" ht="47.25" x14ac:dyDescent="0.2">
      <c r="A69" s="98"/>
      <c r="B69" s="113" t="s">
        <v>82</v>
      </c>
      <c r="C69" s="50" t="s">
        <v>83</v>
      </c>
      <c r="D69" s="100">
        <f>D86*0.001</f>
        <v>1292.00739</v>
      </c>
      <c r="E69" s="101"/>
      <c r="F69" s="101">
        <v>0</v>
      </c>
      <c r="G69" s="101"/>
      <c r="H69" s="101">
        <v>2452.46</v>
      </c>
      <c r="I69" s="101">
        <v>0</v>
      </c>
      <c r="J69" s="101">
        <v>0</v>
      </c>
      <c r="K69" s="100">
        <f t="shared" si="9"/>
        <v>1292.00739</v>
      </c>
      <c r="L69" s="112"/>
      <c r="M69" s="98"/>
      <c r="N69" s="98"/>
      <c r="O69" s="98"/>
    </row>
    <row r="70" spans="1:15" ht="31.5" x14ac:dyDescent="0.2">
      <c r="A70" s="98"/>
      <c r="B70" s="113" t="s">
        <v>84</v>
      </c>
      <c r="C70" s="50" t="s">
        <v>85</v>
      </c>
      <c r="D70" s="100">
        <f>D86*0.005</f>
        <v>6460.0369499999997</v>
      </c>
      <c r="E70" s="100"/>
      <c r="F70" s="101">
        <v>0</v>
      </c>
      <c r="G70" s="101"/>
      <c r="H70" s="101">
        <v>12262.3</v>
      </c>
      <c r="I70" s="101">
        <v>0</v>
      </c>
      <c r="J70" s="101">
        <v>0</v>
      </c>
      <c r="K70" s="100">
        <f t="shared" si="9"/>
        <v>6460.0369499999997</v>
      </c>
      <c r="L70" s="102"/>
      <c r="M70" s="98"/>
      <c r="N70" s="98"/>
      <c r="O70" s="98"/>
    </row>
    <row r="71" spans="1:15" ht="31.5" x14ac:dyDescent="0.2">
      <c r="A71" s="98"/>
      <c r="B71" s="113" t="s">
        <v>86</v>
      </c>
      <c r="C71" s="50" t="s">
        <v>87</v>
      </c>
      <c r="D71" s="101">
        <v>0</v>
      </c>
      <c r="E71" s="101"/>
      <c r="F71" s="101">
        <v>0</v>
      </c>
      <c r="G71" s="101"/>
      <c r="H71" s="101">
        <v>0</v>
      </c>
      <c r="I71" s="101">
        <f>D71*0.21</f>
        <v>0</v>
      </c>
      <c r="J71" s="101">
        <v>0</v>
      </c>
      <c r="K71" s="100">
        <f t="shared" si="9"/>
        <v>0</v>
      </c>
      <c r="L71" s="112"/>
      <c r="M71" s="98"/>
      <c r="N71" s="98"/>
      <c r="O71" s="98"/>
    </row>
    <row r="72" spans="1:15" ht="15.75" x14ac:dyDescent="0.2">
      <c r="A72" s="98"/>
      <c r="B72" s="99">
        <v>5.3</v>
      </c>
      <c r="C72" s="50" t="s">
        <v>88</v>
      </c>
      <c r="D72" s="100">
        <v>301798.12</v>
      </c>
      <c r="E72" s="100"/>
      <c r="F72" s="101">
        <v>0</v>
      </c>
      <c r="G72" s="101"/>
      <c r="H72" s="101">
        <v>242302.81</v>
      </c>
      <c r="I72" s="101">
        <v>0</v>
      </c>
      <c r="J72" s="101">
        <f>D72*0.21</f>
        <v>63377.605199999998</v>
      </c>
      <c r="K72" s="100">
        <f>D72+F72+I72+J72</f>
        <v>365175.72519999999</v>
      </c>
      <c r="L72" s="102"/>
      <c r="M72" s="98"/>
      <c r="N72" s="98"/>
      <c r="O72" s="98"/>
    </row>
    <row r="73" spans="1:15" ht="15.75" x14ac:dyDescent="0.2">
      <c r="A73" s="98"/>
      <c r="B73" s="99">
        <v>5.4</v>
      </c>
      <c r="C73" s="50" t="s">
        <v>89</v>
      </c>
      <c r="D73" s="100">
        <v>2000</v>
      </c>
      <c r="E73" s="101"/>
      <c r="F73" s="101">
        <v>0</v>
      </c>
      <c r="G73" s="101"/>
      <c r="H73" s="101">
        <v>2000</v>
      </c>
      <c r="I73" s="101">
        <f>I74+J75</f>
        <v>416.47899999999998</v>
      </c>
      <c r="J73" s="101"/>
      <c r="K73" s="100">
        <f t="shared" si="9"/>
        <v>2416.4789999999998</v>
      </c>
      <c r="L73" s="112"/>
      <c r="M73" s="98"/>
      <c r="N73" s="98"/>
      <c r="O73" s="98"/>
    </row>
    <row r="74" spans="1:15" ht="31.5" x14ac:dyDescent="0.2">
      <c r="A74" s="98"/>
      <c r="B74" s="153" t="s">
        <v>131</v>
      </c>
      <c r="C74" s="50" t="s">
        <v>117</v>
      </c>
      <c r="D74" s="100">
        <v>176.05</v>
      </c>
      <c r="E74" s="101"/>
      <c r="F74" s="101">
        <v>0</v>
      </c>
      <c r="G74" s="101"/>
      <c r="H74" s="101"/>
      <c r="I74" s="101">
        <f>D74*0.19</f>
        <v>33.4495</v>
      </c>
      <c r="J74" s="101">
        <v>0</v>
      </c>
      <c r="K74" s="100">
        <f>I74+D74</f>
        <v>209.49950000000001</v>
      </c>
      <c r="L74" s="112"/>
      <c r="M74" s="98"/>
      <c r="N74" s="98"/>
      <c r="O74" s="98"/>
    </row>
    <row r="75" spans="1:15" ht="31.5" x14ac:dyDescent="0.2">
      <c r="A75" s="98"/>
      <c r="B75" s="153" t="s">
        <v>116</v>
      </c>
      <c r="C75" s="50" t="s">
        <v>121</v>
      </c>
      <c r="D75" s="100">
        <v>1823.95</v>
      </c>
      <c r="E75" s="101"/>
      <c r="F75" s="101">
        <v>0</v>
      </c>
      <c r="G75" s="101"/>
      <c r="H75" s="101"/>
      <c r="I75" s="101">
        <v>0</v>
      </c>
      <c r="J75" s="101">
        <f>D75*0.21</f>
        <v>383.02949999999998</v>
      </c>
      <c r="K75" s="100">
        <f>J75+D75</f>
        <v>2206.9794999999999</v>
      </c>
      <c r="L75" s="112"/>
      <c r="M75" s="98"/>
      <c r="N75" s="98"/>
      <c r="O75" s="98"/>
    </row>
    <row r="76" spans="1:15" ht="15.75" x14ac:dyDescent="0.2">
      <c r="A76" s="98"/>
      <c r="B76" s="171" t="s">
        <v>90</v>
      </c>
      <c r="C76" s="172"/>
      <c r="D76" s="109">
        <f>D63+D66+D72+D73</f>
        <v>318010.20129</v>
      </c>
      <c r="E76" s="109"/>
      <c r="F76" s="110">
        <v>0</v>
      </c>
      <c r="G76" s="110"/>
      <c r="H76" s="110">
        <f>H63+H66+H72+H73</f>
        <v>331279.87</v>
      </c>
      <c r="I76" s="110">
        <f>I74</f>
        <v>33.4495</v>
      </c>
      <c r="J76" s="110">
        <f>J75+J72</f>
        <v>63760.634699999995</v>
      </c>
      <c r="K76" s="109">
        <f>K73+K66+K72</f>
        <v>381804.28548999998</v>
      </c>
      <c r="L76" s="111"/>
      <c r="M76" s="98"/>
      <c r="N76" s="98"/>
      <c r="O76" s="98"/>
    </row>
    <row r="77" spans="1:15" ht="15.75" x14ac:dyDescent="0.2">
      <c r="A77" s="98"/>
      <c r="B77" s="192" t="s">
        <v>110</v>
      </c>
      <c r="C77" s="193"/>
      <c r="D77" s="193"/>
      <c r="E77" s="193"/>
      <c r="F77" s="193"/>
      <c r="G77" s="193"/>
      <c r="H77" s="193"/>
      <c r="I77" s="193"/>
      <c r="J77" s="193"/>
      <c r="K77" s="193"/>
      <c r="L77" s="194"/>
      <c r="M77" s="98"/>
      <c r="N77" s="98"/>
      <c r="O77" s="98"/>
    </row>
    <row r="78" spans="1:15" ht="15.75" x14ac:dyDescent="0.2">
      <c r="A78" s="98"/>
      <c r="B78" s="99">
        <v>6.1</v>
      </c>
      <c r="C78" s="50" t="s">
        <v>91</v>
      </c>
      <c r="D78" s="101">
        <v>0</v>
      </c>
      <c r="E78" s="101">
        <v>0</v>
      </c>
      <c r="F78" s="101">
        <v>0</v>
      </c>
      <c r="G78" s="101">
        <v>0</v>
      </c>
      <c r="H78" s="101"/>
      <c r="I78" s="101">
        <v>0</v>
      </c>
      <c r="J78" s="101">
        <v>0</v>
      </c>
      <c r="K78" s="101">
        <v>0</v>
      </c>
      <c r="L78" s="112">
        <v>0</v>
      </c>
      <c r="M78" s="98"/>
      <c r="N78" s="98"/>
      <c r="O78" s="98"/>
    </row>
    <row r="79" spans="1:15" ht="15.75" x14ac:dyDescent="0.2">
      <c r="A79" s="98"/>
      <c r="B79" s="99">
        <v>6.2</v>
      </c>
      <c r="C79" s="50" t="s">
        <v>92</v>
      </c>
      <c r="D79" s="101">
        <v>0</v>
      </c>
      <c r="E79" s="101">
        <v>0</v>
      </c>
      <c r="F79" s="101">
        <v>0</v>
      </c>
      <c r="G79" s="101">
        <v>0</v>
      </c>
      <c r="H79" s="101"/>
      <c r="I79" s="101">
        <v>0</v>
      </c>
      <c r="J79" s="101">
        <v>0</v>
      </c>
      <c r="K79" s="101">
        <v>0</v>
      </c>
      <c r="L79" s="112">
        <v>0</v>
      </c>
      <c r="M79" s="98"/>
      <c r="N79" s="98"/>
      <c r="O79" s="98"/>
    </row>
    <row r="80" spans="1:15" ht="15.75" x14ac:dyDescent="0.2">
      <c r="A80" s="98"/>
      <c r="B80" s="171" t="s">
        <v>93</v>
      </c>
      <c r="C80" s="172"/>
      <c r="D80" s="110">
        <v>0</v>
      </c>
      <c r="E80" s="110">
        <v>0</v>
      </c>
      <c r="F80" s="110">
        <v>0</v>
      </c>
      <c r="G80" s="110">
        <v>0</v>
      </c>
      <c r="H80" s="110"/>
      <c r="I80" s="110">
        <v>0</v>
      </c>
      <c r="J80" s="110">
        <v>0</v>
      </c>
      <c r="K80" s="110">
        <v>0</v>
      </c>
      <c r="L80" s="120">
        <v>0</v>
      </c>
      <c r="M80" s="98"/>
      <c r="N80" s="98"/>
      <c r="O80" s="98"/>
    </row>
    <row r="81" spans="1:15" ht="15.75" x14ac:dyDescent="0.2">
      <c r="A81" s="98"/>
      <c r="B81" s="192" t="s">
        <v>111</v>
      </c>
      <c r="C81" s="193"/>
      <c r="D81" s="193"/>
      <c r="E81" s="193"/>
      <c r="F81" s="193"/>
      <c r="G81" s="193"/>
      <c r="H81" s="193"/>
      <c r="I81" s="193"/>
      <c r="J81" s="193"/>
      <c r="K81" s="193"/>
      <c r="L81" s="194"/>
      <c r="M81" s="98"/>
      <c r="N81" s="98"/>
      <c r="O81" s="98"/>
    </row>
    <row r="82" spans="1:15" ht="15.75" x14ac:dyDescent="0.2">
      <c r="A82" s="98"/>
      <c r="B82" s="99">
        <v>7.1</v>
      </c>
      <c r="C82" s="50" t="s">
        <v>94</v>
      </c>
      <c r="D82" s="101">
        <v>0</v>
      </c>
      <c r="E82" s="101">
        <v>0</v>
      </c>
      <c r="F82" s="100">
        <v>0</v>
      </c>
      <c r="G82" s="100">
        <v>60758.96</v>
      </c>
      <c r="H82" s="100">
        <v>60758.96</v>
      </c>
      <c r="I82" s="101">
        <v>0</v>
      </c>
      <c r="J82" s="101">
        <v>0</v>
      </c>
      <c r="K82" s="100">
        <f t="shared" ref="K82" si="10">D82+F82+I82</f>
        <v>0</v>
      </c>
      <c r="L82" s="102"/>
      <c r="M82" s="98"/>
      <c r="N82" s="98"/>
      <c r="O82" s="98"/>
    </row>
    <row r="83" spans="1:15" ht="31.5" x14ac:dyDescent="0.2">
      <c r="A83" s="98"/>
      <c r="B83" s="99">
        <v>7.2</v>
      </c>
      <c r="C83" s="50" t="s">
        <v>95</v>
      </c>
      <c r="D83" s="101">
        <v>0</v>
      </c>
      <c r="E83" s="101">
        <v>0</v>
      </c>
      <c r="F83" s="100">
        <v>137992.24</v>
      </c>
      <c r="G83" s="100">
        <v>88900.28</v>
      </c>
      <c r="H83" s="100">
        <v>88900.28</v>
      </c>
      <c r="I83" s="101">
        <v>0</v>
      </c>
      <c r="J83" s="101">
        <f>F83*0.21</f>
        <v>28978.370399999996</v>
      </c>
      <c r="K83" s="100">
        <f>J83+F83</f>
        <v>166970.61039999998</v>
      </c>
      <c r="L83" s="102"/>
      <c r="M83" s="98"/>
      <c r="N83" s="98"/>
      <c r="O83" s="98"/>
    </row>
    <row r="84" spans="1:15" ht="15.75" x14ac:dyDescent="0.2">
      <c r="A84" s="98"/>
      <c r="B84" s="171" t="s">
        <v>96</v>
      </c>
      <c r="C84" s="172"/>
      <c r="D84" s="110">
        <f>D82+D83</f>
        <v>0</v>
      </c>
      <c r="E84" s="110">
        <v>0</v>
      </c>
      <c r="F84" s="110">
        <f>F82+F83</f>
        <v>137992.24</v>
      </c>
      <c r="G84" s="110">
        <f t="shared" ref="G84:H84" si="11">G82+G83</f>
        <v>149659.24</v>
      </c>
      <c r="H84" s="110">
        <f t="shared" si="11"/>
        <v>149659.24</v>
      </c>
      <c r="I84" s="110">
        <f>I82+I83</f>
        <v>0</v>
      </c>
      <c r="J84" s="110">
        <f>F84*0.21</f>
        <v>28978.370399999996</v>
      </c>
      <c r="K84" s="110">
        <f>J84+F84</f>
        <v>166970.61039999998</v>
      </c>
      <c r="L84" s="111"/>
      <c r="M84" s="98"/>
      <c r="N84" s="98"/>
      <c r="O84" s="98"/>
    </row>
    <row r="85" spans="1:15" ht="15.75" x14ac:dyDescent="0.2">
      <c r="A85" s="98"/>
      <c r="B85" s="169" t="s">
        <v>98</v>
      </c>
      <c r="C85" s="170"/>
      <c r="D85" s="92">
        <f>D16+D19+D47+D61+D76+D80+D84</f>
        <v>1706440.9479566666</v>
      </c>
      <c r="E85" s="92">
        <f>E16+E19+E47+E61+E76+E80+E84</f>
        <v>0</v>
      </c>
      <c r="F85" s="92">
        <f>F16+F19+F47+F61+F76+F80+F84</f>
        <v>148825.56999999998</v>
      </c>
      <c r="G85" s="92">
        <f>G16+G19+G47+G61+G76+G80+G84</f>
        <v>149659.24</v>
      </c>
      <c r="H85" s="92">
        <f>H16+H19+H47+H61+H76+H80+H84</f>
        <v>3296604.0200000005</v>
      </c>
      <c r="I85" s="92">
        <f>I16+I19+I47+I61+I76+I80+I84</f>
        <v>11037.300766666664</v>
      </c>
      <c r="J85" s="92">
        <f>J84+J61+J47+J76</f>
        <v>374422.30979999999</v>
      </c>
      <c r="K85" s="121">
        <f>D85+F85+I85+J85</f>
        <v>2240726.1285233335</v>
      </c>
      <c r="L85" s="122"/>
      <c r="M85" s="98"/>
      <c r="N85" s="98"/>
      <c r="O85" s="98"/>
    </row>
    <row r="86" spans="1:15" ht="15.75" x14ac:dyDescent="0.2">
      <c r="A86" s="98"/>
      <c r="B86" s="171" t="s">
        <v>97</v>
      </c>
      <c r="C86" s="172"/>
      <c r="D86" s="110">
        <f>D16+D19+D49+D54+D64</f>
        <v>1292007.3899999999</v>
      </c>
      <c r="E86" s="110">
        <f>E16+E19+E49+E54+E64</f>
        <v>0</v>
      </c>
      <c r="F86" s="110">
        <f>F16+F19+F49+F54+F64</f>
        <v>0</v>
      </c>
      <c r="G86" s="110">
        <f>G16+G19+G49+G54+G64</f>
        <v>0</v>
      </c>
      <c r="H86" s="110">
        <f>H16+H19+H49+H54+H64</f>
        <v>2698850.73</v>
      </c>
      <c r="I86" s="110">
        <v>0</v>
      </c>
      <c r="J86" s="110">
        <f>D86*0.21</f>
        <v>271321.55189999996</v>
      </c>
      <c r="K86" s="110">
        <f>D86+F86+I86+J86</f>
        <v>1563328.9419</v>
      </c>
      <c r="L86" s="111"/>
      <c r="M86" s="98"/>
      <c r="N86" s="98"/>
      <c r="O86" s="98"/>
    </row>
    <row r="87" spans="1:15" x14ac:dyDescent="0.2">
      <c r="A87" s="98"/>
      <c r="B87" s="3"/>
      <c r="C87" s="3"/>
      <c r="D87" s="123"/>
      <c r="E87" s="123"/>
      <c r="F87" s="123"/>
      <c r="G87" s="123"/>
      <c r="H87" s="123"/>
      <c r="I87" s="123"/>
      <c r="J87" s="123"/>
      <c r="K87" s="123"/>
      <c r="L87" s="124"/>
      <c r="M87" s="98"/>
      <c r="N87" s="98"/>
      <c r="O87" s="98"/>
    </row>
    <row r="88" spans="1:15" x14ac:dyDescent="0.2">
      <c r="A88" s="98"/>
      <c r="B88" s="3"/>
      <c r="C88" s="3"/>
      <c r="D88" s="123"/>
      <c r="E88" s="123"/>
      <c r="F88" s="123"/>
      <c r="G88" s="123"/>
      <c r="H88" s="123"/>
      <c r="I88" s="123"/>
      <c r="J88" s="123"/>
      <c r="K88" s="123"/>
      <c r="L88" s="124"/>
      <c r="M88" s="98"/>
      <c r="N88" s="98"/>
      <c r="O88" s="98"/>
    </row>
    <row r="89" spans="1:15" x14ac:dyDescent="0.2">
      <c r="A89" s="98"/>
      <c r="B89" s="3"/>
      <c r="C89" s="3"/>
      <c r="D89" s="123"/>
      <c r="E89" s="123"/>
      <c r="F89" s="123"/>
      <c r="G89" s="123"/>
      <c r="H89" s="123"/>
      <c r="I89" s="123"/>
      <c r="J89" s="123"/>
      <c r="K89" s="123"/>
      <c r="L89" s="124"/>
      <c r="M89" s="98"/>
      <c r="N89" s="98"/>
      <c r="O89" s="98"/>
    </row>
    <row r="90" spans="1:15" s="86" customFormat="1" ht="15.75" x14ac:dyDescent="0.25">
      <c r="B90" s="173"/>
      <c r="C90" s="173"/>
      <c r="D90" s="173"/>
      <c r="E90" s="173"/>
      <c r="F90" s="173"/>
      <c r="G90" s="173"/>
      <c r="H90" s="173"/>
      <c r="I90" s="173"/>
      <c r="J90" s="173"/>
      <c r="K90" s="173"/>
      <c r="L90" s="173"/>
    </row>
    <row r="91" spans="1:15" ht="15.75" x14ac:dyDescent="0.25">
      <c r="C91" s="163" t="s">
        <v>148</v>
      </c>
      <c r="D91" s="205"/>
      <c r="E91" s="205"/>
      <c r="F91" s="205"/>
      <c r="G91" s="205"/>
      <c r="H91" s="205"/>
      <c r="I91" s="205" t="s">
        <v>134</v>
      </c>
      <c r="J91" s="205"/>
    </row>
    <row r="92" spans="1:15" ht="15.75" x14ac:dyDescent="0.2">
      <c r="C92" s="207" t="s">
        <v>147</v>
      </c>
      <c r="D92" s="85"/>
      <c r="E92" s="85"/>
      <c r="F92" s="208" t="s">
        <v>149</v>
      </c>
      <c r="G92" s="208"/>
      <c r="H92" s="208"/>
      <c r="I92" s="208"/>
      <c r="J92" s="208"/>
    </row>
  </sheetData>
  <mergeCells count="25">
    <mergeCell ref="F92:J92"/>
    <mergeCell ref="B6:L6"/>
    <mergeCell ref="B7:B8"/>
    <mergeCell ref="C7:C8"/>
    <mergeCell ref="D7:E7"/>
    <mergeCell ref="F7:G7"/>
    <mergeCell ref="K7:L7"/>
    <mergeCell ref="I7:J7"/>
    <mergeCell ref="B80:C80"/>
    <mergeCell ref="B11:L11"/>
    <mergeCell ref="B16:C16"/>
    <mergeCell ref="B18:L18"/>
    <mergeCell ref="B19:C19"/>
    <mergeCell ref="B20:L20"/>
    <mergeCell ref="B47:C47"/>
    <mergeCell ref="B48:L48"/>
    <mergeCell ref="B61:C61"/>
    <mergeCell ref="B62:L62"/>
    <mergeCell ref="B76:C76"/>
    <mergeCell ref="B77:L77"/>
    <mergeCell ref="B81:L81"/>
    <mergeCell ref="B84:C84"/>
    <mergeCell ref="B85:C85"/>
    <mergeCell ref="B86:C86"/>
    <mergeCell ref="B90:L9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67F4C-D388-4AA6-8C04-89EBFB81DDF1}">
  <sheetPr>
    <tabColor theme="9" tint="0.39997558519241921"/>
  </sheetPr>
  <dimension ref="B1:O99"/>
  <sheetViews>
    <sheetView tabSelected="1" topLeftCell="A71" zoomScale="90" zoomScaleNormal="90" workbookViewId="0">
      <selection activeCell="C99" sqref="C99"/>
    </sheetView>
  </sheetViews>
  <sheetFormatPr defaultRowHeight="12.75" x14ac:dyDescent="0.2"/>
  <cols>
    <col min="3" max="3" width="52.83203125" customWidth="1"/>
    <col min="4" max="4" width="19.83203125" customWidth="1"/>
    <col min="5" max="5" width="0" hidden="1" customWidth="1"/>
    <col min="6" max="6" width="18.83203125" customWidth="1"/>
    <col min="7" max="8" width="0" hidden="1" customWidth="1"/>
    <col min="9" max="9" width="16.5" customWidth="1"/>
    <col min="10" max="10" width="16.5" style="162" customWidth="1"/>
    <col min="11" max="11" width="22.6640625" customWidth="1"/>
    <col min="12" max="12" width="0" hidden="1" customWidth="1"/>
    <col min="15" max="15" width="54.1640625" customWidth="1"/>
  </cols>
  <sheetData>
    <row r="1" spans="2:12" ht="15.75" x14ac:dyDescent="0.2">
      <c r="B1" s="41"/>
      <c r="C1" s="41"/>
      <c r="D1" s="41"/>
      <c r="E1" s="41"/>
      <c r="F1" s="41"/>
      <c r="G1" s="41"/>
      <c r="H1" s="41"/>
      <c r="I1" s="41"/>
      <c r="J1" s="159"/>
      <c r="K1" s="41"/>
      <c r="L1" s="41"/>
    </row>
    <row r="2" spans="2:12" ht="15.75" x14ac:dyDescent="0.2">
      <c r="B2" s="41"/>
      <c r="C2" s="41"/>
      <c r="D2" s="41"/>
      <c r="E2" s="41"/>
      <c r="F2" s="41"/>
      <c r="G2" s="41"/>
      <c r="H2" s="41"/>
      <c r="I2" s="41"/>
      <c r="J2" s="159"/>
      <c r="K2" s="41"/>
      <c r="L2" s="41"/>
    </row>
    <row r="3" spans="2:12" ht="93.75" customHeight="1" x14ac:dyDescent="0.2">
      <c r="B3" s="203" t="s">
        <v>146</v>
      </c>
      <c r="C3" s="204"/>
      <c r="D3" s="204"/>
      <c r="E3" s="204"/>
      <c r="F3" s="204"/>
      <c r="G3" s="204"/>
      <c r="H3" s="204"/>
      <c r="I3" s="204"/>
      <c r="J3" s="204"/>
      <c r="K3" s="204"/>
      <c r="L3" s="204"/>
    </row>
    <row r="4" spans="2:12" ht="78.75" x14ac:dyDescent="0.2">
      <c r="B4" s="177" t="s">
        <v>0</v>
      </c>
      <c r="C4" s="179" t="s">
        <v>1</v>
      </c>
      <c r="D4" s="181" t="s">
        <v>2</v>
      </c>
      <c r="E4" s="182"/>
      <c r="F4" s="181" t="s">
        <v>3</v>
      </c>
      <c r="G4" s="182"/>
      <c r="H4" s="129" t="s">
        <v>100</v>
      </c>
      <c r="I4" s="183" t="s">
        <v>4</v>
      </c>
      <c r="J4" s="183"/>
      <c r="K4" s="183" t="s">
        <v>5</v>
      </c>
      <c r="L4" s="183"/>
    </row>
    <row r="5" spans="2:12" ht="15.75" x14ac:dyDescent="0.2">
      <c r="B5" s="178"/>
      <c r="C5" s="180"/>
      <c r="D5" s="44" t="s">
        <v>6</v>
      </c>
      <c r="E5" s="44" t="s">
        <v>7</v>
      </c>
      <c r="F5" s="44" t="s">
        <v>6</v>
      </c>
      <c r="G5" s="44" t="s">
        <v>7</v>
      </c>
      <c r="H5" s="44" t="s">
        <v>6</v>
      </c>
      <c r="I5" s="135" t="s">
        <v>122</v>
      </c>
      <c r="J5" s="206" t="s">
        <v>112</v>
      </c>
      <c r="K5" s="132" t="s">
        <v>6</v>
      </c>
      <c r="L5" s="84" t="s">
        <v>7</v>
      </c>
    </row>
    <row r="6" spans="2:12" ht="15.75" x14ac:dyDescent="0.2">
      <c r="B6" s="56">
        <v>1</v>
      </c>
      <c r="C6" s="57">
        <v>2</v>
      </c>
      <c r="D6" s="57">
        <v>3</v>
      </c>
      <c r="E6" s="57">
        <v>4</v>
      </c>
      <c r="F6" s="57">
        <v>4</v>
      </c>
      <c r="G6" s="57">
        <v>6</v>
      </c>
      <c r="H6" s="57">
        <v>5</v>
      </c>
      <c r="I6" s="57">
        <v>5</v>
      </c>
      <c r="J6" s="160">
        <v>6</v>
      </c>
      <c r="K6" s="57">
        <v>7</v>
      </c>
      <c r="L6" s="58">
        <v>9</v>
      </c>
    </row>
    <row r="7" spans="2:12" ht="15.75" x14ac:dyDescent="0.25">
      <c r="B7" s="48"/>
      <c r="C7" s="48"/>
      <c r="D7" s="48"/>
      <c r="E7" s="48"/>
      <c r="F7" s="48"/>
      <c r="G7" s="48"/>
      <c r="H7" s="48"/>
      <c r="I7" s="48"/>
      <c r="J7" s="161"/>
      <c r="K7" s="48"/>
      <c r="L7" s="48"/>
    </row>
    <row r="8" spans="2:12" ht="15.75" x14ac:dyDescent="0.2">
      <c r="B8" s="174" t="s">
        <v>107</v>
      </c>
      <c r="C8" s="175"/>
      <c r="D8" s="175"/>
      <c r="E8" s="175"/>
      <c r="F8" s="175"/>
      <c r="G8" s="175"/>
      <c r="H8" s="175"/>
      <c r="I8" s="175"/>
      <c r="J8" s="175"/>
      <c r="K8" s="175"/>
      <c r="L8" s="176"/>
    </row>
    <row r="9" spans="2:12" ht="15.75" x14ac:dyDescent="0.2">
      <c r="B9" s="59">
        <v>1.1000000000000001</v>
      </c>
      <c r="C9" s="50" t="s">
        <v>8</v>
      </c>
      <c r="D9" s="60">
        <v>0</v>
      </c>
      <c r="E9" s="60">
        <v>0</v>
      </c>
      <c r="F9" s="60">
        <v>0</v>
      </c>
      <c r="G9" s="60">
        <v>0</v>
      </c>
      <c r="H9" s="60">
        <v>0</v>
      </c>
      <c r="I9" s="60">
        <v>0</v>
      </c>
      <c r="J9" s="60">
        <v>0</v>
      </c>
      <c r="K9" s="60">
        <v>0</v>
      </c>
      <c r="L9" s="61">
        <v>0</v>
      </c>
    </row>
    <row r="10" spans="2:12" ht="15.75" x14ac:dyDescent="0.2">
      <c r="B10" s="59">
        <v>1.2</v>
      </c>
      <c r="C10" s="50" t="s">
        <v>9</v>
      </c>
      <c r="D10" s="60">
        <v>0</v>
      </c>
      <c r="E10" s="60">
        <v>0</v>
      </c>
      <c r="F10" s="60">
        <v>0</v>
      </c>
      <c r="G10" s="60">
        <v>0</v>
      </c>
      <c r="H10" s="60">
        <v>0</v>
      </c>
      <c r="I10" s="60">
        <v>0</v>
      </c>
      <c r="J10" s="60">
        <v>0</v>
      </c>
      <c r="K10" s="60">
        <v>0</v>
      </c>
      <c r="L10" s="61">
        <v>0</v>
      </c>
    </row>
    <row r="11" spans="2:12" ht="31.5" x14ac:dyDescent="0.2">
      <c r="B11" s="59">
        <v>1.3</v>
      </c>
      <c r="C11" s="50" t="s">
        <v>10</v>
      </c>
      <c r="D11" s="60">
        <v>0</v>
      </c>
      <c r="E11" s="60">
        <v>0</v>
      </c>
      <c r="F11" s="60">
        <v>0</v>
      </c>
      <c r="G11" s="60">
        <v>0</v>
      </c>
      <c r="H11" s="60">
        <v>0</v>
      </c>
      <c r="I11" s="60">
        <v>0</v>
      </c>
      <c r="J11" s="60">
        <v>0</v>
      </c>
      <c r="K11" s="60">
        <v>0</v>
      </c>
      <c r="L11" s="61">
        <v>0</v>
      </c>
    </row>
    <row r="12" spans="2:12" ht="15.75" x14ac:dyDescent="0.2">
      <c r="B12" s="59">
        <v>1.4</v>
      </c>
      <c r="C12" s="50" t="s">
        <v>11</v>
      </c>
      <c r="D12" s="60">
        <v>0</v>
      </c>
      <c r="E12" s="60">
        <v>0</v>
      </c>
      <c r="F12" s="60">
        <v>0</v>
      </c>
      <c r="G12" s="60">
        <v>0</v>
      </c>
      <c r="H12" s="60">
        <v>0</v>
      </c>
      <c r="I12" s="60">
        <v>0</v>
      </c>
      <c r="J12" s="60">
        <v>0</v>
      </c>
      <c r="K12" s="60">
        <v>0</v>
      </c>
      <c r="L12" s="61">
        <v>0</v>
      </c>
    </row>
    <row r="13" spans="2:12" ht="15.75" x14ac:dyDescent="0.2">
      <c r="B13" s="171" t="s">
        <v>12</v>
      </c>
      <c r="C13" s="172"/>
      <c r="D13" s="62">
        <v>0</v>
      </c>
      <c r="E13" s="62">
        <v>0</v>
      </c>
      <c r="F13" s="62">
        <v>0</v>
      </c>
      <c r="G13" s="62">
        <v>0</v>
      </c>
      <c r="H13" s="62">
        <v>0</v>
      </c>
      <c r="I13" s="62">
        <v>0</v>
      </c>
      <c r="J13" s="62">
        <v>0</v>
      </c>
      <c r="K13" s="62">
        <v>0</v>
      </c>
      <c r="L13" s="63">
        <v>0</v>
      </c>
    </row>
    <row r="14" spans="2:12" ht="15.75" x14ac:dyDescent="0.25">
      <c r="B14" s="48"/>
      <c r="C14" s="48"/>
      <c r="D14" s="48"/>
      <c r="E14" s="48"/>
      <c r="F14" s="48"/>
      <c r="G14" s="48"/>
      <c r="H14" s="48"/>
      <c r="I14" s="48"/>
      <c r="J14" s="161"/>
      <c r="K14" s="48"/>
      <c r="L14" s="48"/>
    </row>
    <row r="15" spans="2:12" ht="15.75" x14ac:dyDescent="0.2">
      <c r="B15" s="174" t="s">
        <v>102</v>
      </c>
      <c r="C15" s="175"/>
      <c r="D15" s="175"/>
      <c r="E15" s="175"/>
      <c r="F15" s="175"/>
      <c r="G15" s="175"/>
      <c r="H15" s="175"/>
      <c r="I15" s="175"/>
      <c r="J15" s="175"/>
      <c r="K15" s="175"/>
      <c r="L15" s="176"/>
    </row>
    <row r="16" spans="2:12" ht="15.75" x14ac:dyDescent="0.2">
      <c r="B16" s="171" t="s">
        <v>13</v>
      </c>
      <c r="C16" s="172"/>
      <c r="D16" s="62">
        <v>0</v>
      </c>
      <c r="E16" s="62">
        <v>0</v>
      </c>
      <c r="F16" s="62">
        <v>0</v>
      </c>
      <c r="G16" s="62">
        <v>0</v>
      </c>
      <c r="H16" s="62">
        <v>0</v>
      </c>
      <c r="I16" s="62">
        <v>0</v>
      </c>
      <c r="J16" s="62">
        <v>0</v>
      </c>
      <c r="K16" s="62">
        <v>0</v>
      </c>
      <c r="L16" s="63">
        <v>0</v>
      </c>
    </row>
    <row r="17" spans="2:12" ht="15.75" x14ac:dyDescent="0.2">
      <c r="B17" s="164" t="s">
        <v>132</v>
      </c>
      <c r="C17" s="165"/>
      <c r="D17" s="165"/>
      <c r="E17" s="165"/>
      <c r="F17" s="165"/>
      <c r="G17" s="165"/>
      <c r="H17" s="165"/>
      <c r="I17" s="165"/>
      <c r="J17" s="165"/>
      <c r="K17" s="165"/>
      <c r="L17" s="166"/>
    </row>
    <row r="18" spans="2:12" ht="15.75" x14ac:dyDescent="0.2">
      <c r="B18" s="64">
        <v>3.1</v>
      </c>
      <c r="C18" s="16" t="s">
        <v>14</v>
      </c>
      <c r="D18" s="53">
        <f>'bloc 36'!C20+'bloc 37'!D23+'bloc 38'!F22+'bloc 39'!E22+bloc40!D20+'bloc 41'!D20+'bloc 42'!D20+'bloc 43'!D20+'bloc 44'!D20+'bloc 45'!D20+'bloc 46'!D20+'bloc 47'!D21</f>
        <v>20000.04</v>
      </c>
      <c r="E18" s="53"/>
      <c r="F18" s="53">
        <v>0</v>
      </c>
      <c r="G18" s="53">
        <v>0</v>
      </c>
      <c r="H18" s="53">
        <v>1666.67</v>
      </c>
      <c r="I18" s="53">
        <f t="shared" ref="I18" si="0">D18*0.19</f>
        <v>3800.0076000000004</v>
      </c>
      <c r="J18" s="53">
        <v>0</v>
      </c>
      <c r="K18" s="53">
        <f t="shared" ref="K18" si="1">D18+F18+I18</f>
        <v>23800.047600000002</v>
      </c>
      <c r="L18" s="54"/>
    </row>
    <row r="19" spans="2:12" ht="15.75" x14ac:dyDescent="0.2">
      <c r="B19" s="19" t="s">
        <v>15</v>
      </c>
      <c r="C19" s="16" t="s">
        <v>16</v>
      </c>
      <c r="D19" s="53">
        <f>'bloc 36'!C21+'bloc 37'!D24+'bloc 38'!F23+'bloc 39'!E23+bloc40!D21+'bloc 41'!D21+'bloc 42'!D21+'bloc 43'!D21+'bloc 44'!D21+'bloc 45'!D21+'bloc 46'!D21+'bloc 47'!D22</f>
        <v>20000.04</v>
      </c>
      <c r="E19" s="53"/>
      <c r="F19" s="53">
        <v>0</v>
      </c>
      <c r="G19" s="53">
        <v>0</v>
      </c>
      <c r="H19" s="53">
        <v>1666.67</v>
      </c>
      <c r="I19" s="53">
        <f t="shared" ref="I19:I43" si="2">D19*0.19</f>
        <v>3800.0076000000004</v>
      </c>
      <c r="J19" s="53">
        <v>0</v>
      </c>
      <c r="K19" s="53">
        <f t="shared" ref="K19:K43" si="3">D19+F19+I19</f>
        <v>23800.047600000002</v>
      </c>
      <c r="L19" s="54"/>
    </row>
    <row r="20" spans="2:12" ht="15.75" x14ac:dyDescent="0.2">
      <c r="B20" s="19" t="s">
        <v>17</v>
      </c>
      <c r="C20" s="16" t="s">
        <v>18</v>
      </c>
      <c r="D20" s="53">
        <f>'bloc 36'!C22+'bloc 37'!D25+'bloc 38'!F24+'bloc 39'!E24+bloc40!D22+'bloc 41'!D22+'bloc 42'!D22+'bloc 43'!D22+'bloc 44'!D22+'bloc 45'!D22+'bloc 46'!D22+'bloc 47'!D23</f>
        <v>0</v>
      </c>
      <c r="E20" s="53"/>
      <c r="F20" s="53">
        <v>0</v>
      </c>
      <c r="G20" s="53">
        <v>0</v>
      </c>
      <c r="H20" s="53">
        <v>1666.67</v>
      </c>
      <c r="I20" s="53">
        <f t="shared" si="2"/>
        <v>0</v>
      </c>
      <c r="J20" s="53">
        <v>0</v>
      </c>
      <c r="K20" s="53">
        <f t="shared" si="3"/>
        <v>0</v>
      </c>
      <c r="L20" s="54">
        <v>0</v>
      </c>
    </row>
    <row r="21" spans="2:12" ht="15.75" x14ac:dyDescent="0.2">
      <c r="B21" s="19" t="s">
        <v>19</v>
      </c>
      <c r="C21" s="16" t="s">
        <v>20</v>
      </c>
      <c r="D21" s="53">
        <f>'bloc 36'!C23+'bloc 37'!D26+'bloc 38'!F25+'bloc 39'!E25+bloc40!D23+'bloc 41'!D23+'bloc 42'!D23+'bloc 43'!D23+'bloc 44'!D23+'bloc 45'!D23+'bloc 46'!D23+'bloc 47'!D24</f>
        <v>0</v>
      </c>
      <c r="E21" s="53"/>
      <c r="F21" s="53">
        <v>0</v>
      </c>
      <c r="G21" s="53">
        <v>0</v>
      </c>
      <c r="H21" s="53">
        <v>1666.67</v>
      </c>
      <c r="I21" s="53">
        <f t="shared" si="2"/>
        <v>0</v>
      </c>
      <c r="J21" s="53">
        <v>0</v>
      </c>
      <c r="K21" s="53">
        <f t="shared" si="3"/>
        <v>0</v>
      </c>
      <c r="L21" s="54">
        <v>0</v>
      </c>
    </row>
    <row r="22" spans="2:12" ht="31.5" x14ac:dyDescent="0.2">
      <c r="B22" s="65">
        <v>3.2</v>
      </c>
      <c r="C22" s="21" t="s">
        <v>21</v>
      </c>
      <c r="D22" s="53">
        <f>'bloc 36'!C24+'bloc 37'!D27+'bloc 38'!F26+'bloc 39'!E26+bloc40!D24+'bloc 41'!D24+'bloc 42'!D24+'bloc 43'!D24+'bloc 44'!D24+'bloc 45'!D24+'bloc 46'!D24+'bloc 47'!D25</f>
        <v>2000.0000000000002</v>
      </c>
      <c r="E22" s="53"/>
      <c r="F22" s="53">
        <v>0</v>
      </c>
      <c r="G22" s="53">
        <v>0</v>
      </c>
      <c r="H22" s="53">
        <v>1666.67</v>
      </c>
      <c r="I22" s="53">
        <f t="shared" si="2"/>
        <v>380.00000000000006</v>
      </c>
      <c r="J22" s="53">
        <v>0</v>
      </c>
      <c r="K22" s="53">
        <f t="shared" si="3"/>
        <v>2380.0000000000005</v>
      </c>
      <c r="L22" s="68"/>
    </row>
    <row r="23" spans="2:12" ht="15.75" x14ac:dyDescent="0.2">
      <c r="B23" s="64">
        <v>3.3</v>
      </c>
      <c r="C23" s="16" t="s">
        <v>22</v>
      </c>
      <c r="D23" s="53">
        <f>'bloc 36'!C25+'bloc 37'!D28+'bloc 38'!F27+'bloc 39'!E27+bloc40!D25+'bloc 41'!D25+'bloc 42'!D25+'bloc 43'!D25+'bloc 44'!D25+'bloc 45'!D25+'bloc 46'!D25+'bloc 47'!D26</f>
        <v>15000</v>
      </c>
      <c r="E23" s="53"/>
      <c r="F23" s="53">
        <v>0</v>
      </c>
      <c r="G23" s="53">
        <v>0</v>
      </c>
      <c r="H23" s="53">
        <v>1666.67</v>
      </c>
      <c r="I23" s="53">
        <f t="shared" si="2"/>
        <v>2850</v>
      </c>
      <c r="J23" s="53">
        <v>0</v>
      </c>
      <c r="K23" s="53">
        <f t="shared" si="3"/>
        <v>17850</v>
      </c>
      <c r="L23" s="54"/>
    </row>
    <row r="24" spans="2:12" ht="31.5" x14ac:dyDescent="0.2">
      <c r="B24" s="64">
        <v>3.4</v>
      </c>
      <c r="C24" s="16" t="s">
        <v>23</v>
      </c>
      <c r="D24" s="53">
        <f>'bloc 36'!C26+'bloc 37'!D29+'bloc 38'!F28+'bloc 39'!E28+bloc40!D26+'bloc 41'!D26+'bloc 42'!D26+'bloc 43'!D26+'bloc 44'!D26+'bloc 45'!D26+'bloc 46'!D26+'bloc 47'!D27</f>
        <v>56000.039999999986</v>
      </c>
      <c r="E24" s="53"/>
      <c r="F24" s="53">
        <v>0</v>
      </c>
      <c r="G24" s="53">
        <v>0</v>
      </c>
      <c r="H24" s="53">
        <v>1666.67</v>
      </c>
      <c r="I24" s="53">
        <f t="shared" si="2"/>
        <v>10640.007599999997</v>
      </c>
      <c r="J24" s="53">
        <v>0</v>
      </c>
      <c r="K24" s="53">
        <f>D24+F24+I24</f>
        <v>66640.047599999991</v>
      </c>
      <c r="L24" s="54"/>
    </row>
    <row r="25" spans="2:12" ht="31.5" x14ac:dyDescent="0.2">
      <c r="B25" s="64" t="s">
        <v>113</v>
      </c>
      <c r="C25" s="16" t="s">
        <v>119</v>
      </c>
      <c r="D25" s="53">
        <f>'bloc 36'!C27+'bloc 37'!D30+'bloc 38'!F29+'bloc 39'!E29+bloc40!D27+'bloc 41'!D27+'bloc 42'!D27+'bloc 43'!D27+'bloc 44'!D27+'bloc 45'!D27+'bloc 46'!D27+'bloc 47'!D28</f>
        <v>8000.04</v>
      </c>
      <c r="E25" s="53"/>
      <c r="F25" s="53">
        <v>0</v>
      </c>
      <c r="G25" s="53">
        <v>0</v>
      </c>
      <c r="H25" s="53">
        <v>1666.67</v>
      </c>
      <c r="I25" s="53">
        <f t="shared" si="2"/>
        <v>1520.0075999999999</v>
      </c>
      <c r="J25" s="53">
        <v>0</v>
      </c>
      <c r="K25" s="53">
        <f t="shared" si="3"/>
        <v>9520.0475999999999</v>
      </c>
      <c r="L25" s="54"/>
    </row>
    <row r="26" spans="2:12" ht="31.5" x14ac:dyDescent="0.2">
      <c r="B26" s="64" t="s">
        <v>114</v>
      </c>
      <c r="C26" s="16" t="s">
        <v>120</v>
      </c>
      <c r="D26" s="53">
        <f>'bloc 36'!C28+'bloc 37'!D31+'bloc 38'!F30+'bloc 39'!E30+bloc40!D28+'bloc 41'!D28+'bloc 42'!D28+'bloc 43'!D28+'bloc 44'!D28+'bloc 45'!D28+'bloc 46'!D28+'bloc 47'!D29</f>
        <v>48000</v>
      </c>
      <c r="E26" s="53"/>
      <c r="F26" s="53">
        <v>0</v>
      </c>
      <c r="G26" s="53">
        <v>0</v>
      </c>
      <c r="H26" s="53">
        <v>1666.67</v>
      </c>
      <c r="I26" s="53">
        <v>0</v>
      </c>
      <c r="J26" s="53">
        <f>D26*0.21</f>
        <v>10080</v>
      </c>
      <c r="K26" s="53">
        <f>J26+D26</f>
        <v>58080</v>
      </c>
      <c r="L26" s="54"/>
    </row>
    <row r="27" spans="2:12" ht="15.75" x14ac:dyDescent="0.2">
      <c r="B27" s="64">
        <v>3.5</v>
      </c>
      <c r="C27" s="16" t="s">
        <v>24</v>
      </c>
      <c r="D27" s="53">
        <f>'bloc 36'!C29+'bloc 37'!D32+'bloc 38'!F31+'bloc 39'!E31+bloc40!D29+'bloc 41'!D29+'bloc 42'!D29+'bloc 43'!D29+'bloc 44'!D29+'bloc 45'!D29+'bloc 46'!D29+'bloc 47'!D30</f>
        <v>579980.03999999992</v>
      </c>
      <c r="E27" s="53"/>
      <c r="F27" s="53">
        <v>0</v>
      </c>
      <c r="G27" s="53">
        <v>0</v>
      </c>
      <c r="H27" s="53">
        <v>1666.67</v>
      </c>
      <c r="I27" s="53">
        <f t="shared" si="2"/>
        <v>110196.20759999998</v>
      </c>
      <c r="J27" s="53">
        <v>0</v>
      </c>
      <c r="K27" s="53">
        <f t="shared" si="3"/>
        <v>690176.24759999989</v>
      </c>
      <c r="L27" s="54"/>
    </row>
    <row r="28" spans="2:12" ht="15.75" x14ac:dyDescent="0.2">
      <c r="B28" s="19" t="s">
        <v>25</v>
      </c>
      <c r="C28" s="16" t="s">
        <v>26</v>
      </c>
      <c r="D28" s="53">
        <f>'bloc 36'!C30+'bloc 37'!D33+'bloc 38'!F32+'bloc 39'!E32+bloc40!D30+'bloc 41'!D30+'bloc 42'!D30+'bloc 43'!D30+'bloc 44'!D30+'bloc 45'!D30+'bloc 46'!D30+'bloc 47'!D31</f>
        <v>0</v>
      </c>
      <c r="E28" s="53"/>
      <c r="F28" s="53">
        <v>0</v>
      </c>
      <c r="G28" s="53">
        <v>0</v>
      </c>
      <c r="H28" s="53">
        <v>1666.67</v>
      </c>
      <c r="I28" s="53">
        <f t="shared" si="2"/>
        <v>0</v>
      </c>
      <c r="J28" s="53">
        <v>0</v>
      </c>
      <c r="K28" s="53">
        <f t="shared" si="3"/>
        <v>0</v>
      </c>
      <c r="L28" s="54"/>
    </row>
    <row r="29" spans="2:12" ht="15.75" x14ac:dyDescent="0.2">
      <c r="B29" s="19" t="s">
        <v>27</v>
      </c>
      <c r="C29" s="16" t="s">
        <v>28</v>
      </c>
      <c r="D29" s="53">
        <f>'bloc 36'!C31+'bloc 37'!D34+'bloc 38'!F33+'bloc 39'!E33+bloc40!D31+'bloc 41'!D31+'bloc 42'!D31+'bloc 43'!D31+'bloc 44'!D31+'bloc 45'!D31+'bloc 46'!D31+'bloc 47'!D32</f>
        <v>0</v>
      </c>
      <c r="E29" s="53"/>
      <c r="F29" s="53">
        <v>0</v>
      </c>
      <c r="G29" s="53">
        <v>0</v>
      </c>
      <c r="H29" s="53">
        <v>1666.67</v>
      </c>
      <c r="I29" s="53">
        <f t="shared" si="2"/>
        <v>0</v>
      </c>
      <c r="J29" s="53">
        <v>0</v>
      </c>
      <c r="K29" s="53">
        <f t="shared" si="3"/>
        <v>0</v>
      </c>
      <c r="L29" s="54"/>
    </row>
    <row r="30" spans="2:12" ht="31.5" x14ac:dyDescent="0.2">
      <c r="B30" s="19" t="s">
        <v>29</v>
      </c>
      <c r="C30" s="16" t="s">
        <v>30</v>
      </c>
      <c r="D30" s="53">
        <f>'bloc 36'!C32+'bloc 37'!D35+'bloc 38'!F34+'bloc 39'!E34+bloc40!D32+'bloc 41'!D32+'bloc 42'!D32+'bloc 43'!D32+'bloc 44'!D32+'bloc 45'!D32+'bloc 46'!D32+'bloc 47'!D33</f>
        <v>60000</v>
      </c>
      <c r="E30" s="53"/>
      <c r="F30" s="53">
        <v>0</v>
      </c>
      <c r="G30" s="53">
        <v>0</v>
      </c>
      <c r="H30" s="53">
        <v>1666.67</v>
      </c>
      <c r="I30" s="53">
        <f t="shared" si="2"/>
        <v>11400</v>
      </c>
      <c r="J30" s="53">
        <v>0</v>
      </c>
      <c r="K30" s="53">
        <f t="shared" si="3"/>
        <v>71400</v>
      </c>
      <c r="L30" s="54"/>
    </row>
    <row r="31" spans="2:12" ht="31.5" x14ac:dyDescent="0.2">
      <c r="B31" s="19" t="s">
        <v>31</v>
      </c>
      <c r="C31" s="16" t="s">
        <v>32</v>
      </c>
      <c r="D31" s="53">
        <f>'bloc 36'!C33+'bloc 37'!D36+'bloc 38'!F35+'bloc 39'!E35+bloc40!D33+'bloc 41'!D33+'bloc 42'!D33+'bloc 43'!D33+'bloc 44'!D33+'bloc 45'!D33+'bloc 46'!D33+'bloc 47'!D34</f>
        <v>2000.0400000000002</v>
      </c>
      <c r="E31" s="53"/>
      <c r="F31" s="53">
        <v>0</v>
      </c>
      <c r="G31" s="53">
        <v>0</v>
      </c>
      <c r="H31" s="53">
        <v>1666.67</v>
      </c>
      <c r="I31" s="53">
        <f t="shared" si="2"/>
        <v>380.00760000000002</v>
      </c>
      <c r="J31" s="53">
        <v>0</v>
      </c>
      <c r="K31" s="53">
        <f t="shared" si="3"/>
        <v>2380.0476000000003</v>
      </c>
      <c r="L31" s="54"/>
    </row>
    <row r="32" spans="2:12" ht="31.5" x14ac:dyDescent="0.2">
      <c r="B32" s="19" t="s">
        <v>33</v>
      </c>
      <c r="C32" s="16" t="s">
        <v>34</v>
      </c>
      <c r="D32" s="53">
        <f>'bloc 36'!C34+'bloc 37'!D37+'bloc 38'!F36+'bloc 39'!E36+bloc40!D34+'bloc 41'!D34+'bloc 42'!D34+'bloc 43'!D34+'bloc 44'!D34+'bloc 45'!D34+'bloc 46'!D34+'bloc 47'!D35</f>
        <v>66009.960000000006</v>
      </c>
      <c r="E32" s="53"/>
      <c r="F32" s="53">
        <v>0</v>
      </c>
      <c r="G32" s="53">
        <v>0</v>
      </c>
      <c r="H32" s="53">
        <v>1666.67</v>
      </c>
      <c r="I32" s="53">
        <f t="shared" si="2"/>
        <v>12541.892400000001</v>
      </c>
      <c r="J32" s="53">
        <v>0</v>
      </c>
      <c r="K32" s="53">
        <f t="shared" si="3"/>
        <v>78551.852400000003</v>
      </c>
      <c r="L32" s="54"/>
    </row>
    <row r="33" spans="2:15" ht="15.75" x14ac:dyDescent="0.2">
      <c r="B33" s="19" t="s">
        <v>35</v>
      </c>
      <c r="C33" s="16" t="s">
        <v>36</v>
      </c>
      <c r="D33" s="53">
        <f>'bloc 36'!C35+'bloc 37'!D38+'bloc 38'!F37+'bloc 39'!E37+bloc40!D35+'bloc 41'!D35+'bloc 42'!D35+'bloc 43'!D35+'bloc 44'!D35+'bloc 45'!D35+'bloc 46'!D35+'bloc 47'!D36</f>
        <v>451970.03999999986</v>
      </c>
      <c r="E33" s="53"/>
      <c r="F33" s="53">
        <v>0</v>
      </c>
      <c r="G33" s="53">
        <v>0</v>
      </c>
      <c r="H33" s="53">
        <v>1666.67</v>
      </c>
      <c r="I33" s="53">
        <f t="shared" si="2"/>
        <v>85874.307599999971</v>
      </c>
      <c r="J33" s="53">
        <v>0</v>
      </c>
      <c r="K33" s="53">
        <f t="shared" si="3"/>
        <v>537844.34759999986</v>
      </c>
      <c r="L33" s="54"/>
    </row>
    <row r="34" spans="2:15" ht="15.75" x14ac:dyDescent="0.2">
      <c r="B34" s="64">
        <v>3.6</v>
      </c>
      <c r="C34" s="16" t="s">
        <v>37</v>
      </c>
      <c r="D34" s="53">
        <f>'bloc 36'!C36+'bloc 37'!D39+'bloc 38'!F38+'bloc 39'!E38+bloc40!D36+'bloc 41'!D36+'bloc 42'!D36+'bloc 43'!D36+'bloc 44'!D36+'bloc 45'!D36+'bloc 46'!D36+'bloc 47'!D37</f>
        <v>0</v>
      </c>
      <c r="E34" s="53"/>
      <c r="F34" s="53">
        <f>'bloc 36'!E36+'bloc 37'!F39+'bloc 38'!H38+'bloc 39'!G38+bloc40!F36+'bloc 41'!F36+'bloc 42'!F36+'bloc 43'!F36+'bloc 44'!F36+'bloc 45'!F36+'bloc 46'!F36+'bloc 47'!F37</f>
        <v>69999.960000000006</v>
      </c>
      <c r="G34" s="53">
        <f>'bloc 36'!F36+'bloc 37'!G39+'bloc 38'!I38+'bloc 39'!H38+bloc40!G36+'bloc 41'!G36+'bloc 42'!G36+'bloc 43'!G36+'bloc 44'!G36+'bloc 45'!G36+'bloc 46'!G36+'bloc 47'!G37</f>
        <v>0</v>
      </c>
      <c r="H34" s="53">
        <f>'bloc 36'!G36+'bloc 37'!H39+'bloc 38'!J38+'bloc 39'!I38+bloc40!H36+'bloc 41'!H36+'bloc 42'!H36+'bloc 43'!H36+'bloc 44'!H36+'bloc 45'!H36+'bloc 46'!H36+'bloc 47'!H37</f>
        <v>72000</v>
      </c>
      <c r="I34" s="53">
        <f>'bloc 36'!H36+'bloc 37'!I39+'bloc 38'!K38+'bloc 39'!J38+bloc40!I36+'bloc 41'!I36+'bloc 42'!I36+'bloc 43'!I36+'bloc 44'!I36+'bloc 45'!I36+'bloc 46'!I36+'bloc 47'!I37</f>
        <v>13299.992399999996</v>
      </c>
      <c r="J34" s="53">
        <f>'bloc 36'!I36+'bloc 37'!J39+'bloc 38'!L38+'bloc 39'!K38+bloc40!J36+'bloc 41'!J36+'bloc 42'!J36+'bloc 43'!J36+'bloc 44'!J36+'bloc 45'!J36+'bloc 46'!J36+'bloc 47'!J37</f>
        <v>0</v>
      </c>
      <c r="K34" s="53">
        <f>'bloc 36'!J36+'bloc 37'!K39+'bloc 38'!M38+'bloc 39'!L38+bloc40!K36+'bloc 41'!K36+'bloc 42'!K36+'bloc 43'!K36+'bloc 44'!K36+'bloc 45'!K36+'bloc 46'!K36+'bloc 47'!K37</f>
        <v>83299.952399999995</v>
      </c>
      <c r="L34" s="54"/>
    </row>
    <row r="35" spans="2:15" ht="15.75" x14ac:dyDescent="0.2">
      <c r="B35" s="64">
        <v>3.7</v>
      </c>
      <c r="C35" s="16" t="s">
        <v>38</v>
      </c>
      <c r="D35" s="53">
        <f>'bloc 36'!C37+'bloc 37'!D40+'bloc 38'!F39+'bloc 39'!E39+bloc40!D37+'bloc 41'!D37+'bloc 42'!D37+'bloc 43'!D37+'bloc 44'!D37+'bloc 45'!D37+'bloc 46'!D37+'bloc 47'!D38</f>
        <v>0</v>
      </c>
      <c r="E35" s="53"/>
      <c r="F35" s="53">
        <f>'bloc 36'!E37+'bloc 37'!F40+'bloc 38'!H39+'bloc 39'!G39+bloc40!F37+'bloc 41'!F37+'bloc 42'!F37+'bloc 43'!F37+'bloc 44'!F37+'bloc 45'!F37+'bloc 46'!F37+'bloc 47'!F38</f>
        <v>60000</v>
      </c>
      <c r="G35" s="53">
        <f>'bloc 36'!F37+'bloc 37'!G40+'bloc 38'!I39+'bloc 39'!H39+bloc40!G37+'bloc 41'!G37+'bloc 42'!G37+'bloc 43'!G37+'bloc 44'!G37+'bloc 45'!G37+'bloc 46'!G37+'bloc 47'!G38</f>
        <v>0</v>
      </c>
      <c r="H35" s="53">
        <f>'bloc 36'!G37+'bloc 37'!H40+'bloc 38'!J39+'bloc 39'!I39+bloc40!H37+'bloc 41'!H37+'bloc 42'!H37+'bloc 43'!H37+'bloc 44'!H37+'bloc 45'!H37+'bloc 46'!H37+'bloc 47'!H38</f>
        <v>60000</v>
      </c>
      <c r="I35" s="53">
        <f>'bloc 36'!H37+'bloc 37'!I40+'bloc 38'!K39+'bloc 39'!J39+bloc40!I37+'bloc 41'!I37+'bloc 42'!I37+'bloc 43'!I37+'bloc 44'!I37+'bloc 45'!I37+'bloc 46'!I37+'bloc 47'!I38</f>
        <v>0</v>
      </c>
      <c r="J35" s="53">
        <f>'bloc 36'!I37+'bloc 37'!J40+'bloc 38'!L39+'bloc 39'!K39+bloc40!J37+'bloc 41'!J37+'bloc 42'!J37+'bloc 43'!J37+'bloc 44'!J37+'bloc 45'!J37+'bloc 46'!J37+'bloc 47'!J38</f>
        <v>12600</v>
      </c>
      <c r="K35" s="53">
        <f>'bloc 36'!J37+'bloc 37'!K40+'bloc 38'!M39+'bloc 39'!L39+bloc40!K37+'bloc 41'!K37+'bloc 42'!K37+'bloc 43'!K37+'bloc 44'!K37+'bloc 45'!K37+'bloc 46'!K37+'bloc 47'!K38</f>
        <v>72600</v>
      </c>
      <c r="L35" s="54"/>
    </row>
    <row r="36" spans="2:15" ht="31.5" x14ac:dyDescent="0.2">
      <c r="B36" s="19" t="s">
        <v>39</v>
      </c>
      <c r="C36" s="16" t="s">
        <v>40</v>
      </c>
      <c r="D36" s="53">
        <f>'bloc 36'!C38+'bloc 37'!D41+'bloc 38'!F40+'bloc 39'!E40+bloc40!D38+'bloc 41'!D38+'bloc 42'!D38+'bloc 43'!D38+'bloc 44'!D38+'bloc 45'!D38+'bloc 46'!D38+'bloc 47'!D39</f>
        <v>0</v>
      </c>
      <c r="E36" s="53"/>
      <c r="F36" s="53">
        <f>'bloc 36'!E38+'bloc 37'!F41+'bloc 38'!H40+'bloc 39'!G40+bloc40!F38+'bloc 41'!F38+'bloc 42'!F38+'bloc 43'!F38+'bloc 44'!F38+'bloc 45'!F38+'bloc 46'!F38+'bloc 47'!F39</f>
        <v>48000</v>
      </c>
      <c r="G36" s="53">
        <v>0</v>
      </c>
      <c r="H36" s="53">
        <v>1666.67</v>
      </c>
      <c r="I36" s="53">
        <f t="shared" si="2"/>
        <v>0</v>
      </c>
      <c r="J36" s="53">
        <f>F36*0.21</f>
        <v>10080</v>
      </c>
      <c r="K36" s="53">
        <f>J36+F36</f>
        <v>58080</v>
      </c>
      <c r="L36" s="54"/>
    </row>
    <row r="37" spans="2:15" ht="15.75" x14ac:dyDescent="0.2">
      <c r="B37" s="19" t="s">
        <v>41</v>
      </c>
      <c r="C37" s="16" t="s">
        <v>42</v>
      </c>
      <c r="D37" s="53">
        <f>'bloc 36'!C39+'bloc 37'!D42+'bloc 38'!F41+'bloc 39'!E41+bloc40!D39+'bloc 41'!D39+'bloc 42'!D39+'bloc 43'!D39+'bloc 44'!D39+'bloc 45'!D39+'bloc 46'!D39+'bloc 47'!D40</f>
        <v>0</v>
      </c>
      <c r="E37" s="53"/>
      <c r="F37" s="53">
        <f>'bloc 36'!E39+'bloc 37'!F42+'bloc 38'!H41+'bloc 39'!G41+bloc40!F39+'bloc 41'!F39+'bloc 42'!F39+'bloc 43'!F39+'bloc 44'!F39+'bloc 45'!F39+'bloc 46'!F39+'bloc 47'!F40</f>
        <v>12000</v>
      </c>
      <c r="G37" s="53">
        <f>'bloc 36'!F39+'bloc 37'!G42+'bloc 38'!I41+'bloc 39'!H41+bloc40!G39+'bloc 41'!G39+'bloc 42'!G39+'bloc 43'!G39+'bloc 44'!G39+'bloc 45'!G39+'bloc 46'!G39+'bloc 47'!G40</f>
        <v>0</v>
      </c>
      <c r="H37" s="53">
        <f>'bloc 36'!G39+'bloc 37'!H42+'bloc 38'!J41+'bloc 39'!I41+bloc40!H39+'bloc 41'!H39+'bloc 42'!H39+'bloc 43'!H39+'bloc 44'!H39+'bloc 45'!H39+'bloc 46'!H39+'bloc 47'!H40</f>
        <v>12000</v>
      </c>
      <c r="I37" s="53">
        <f>'bloc 36'!H39+'bloc 37'!I42+'bloc 38'!K41+'bloc 39'!J41+bloc40!I39+'bloc 41'!I39+'bloc 42'!I39+'bloc 43'!I39+'bloc 44'!I39+'bloc 45'!I39+'bloc 46'!I39+'bloc 47'!I40</f>
        <v>0</v>
      </c>
      <c r="J37" s="53">
        <f>'bloc 36'!I39+'bloc 37'!J42+'bloc 38'!L41+'bloc 39'!K41+bloc40!J39+'bloc 41'!J39+'bloc 42'!J39+'bloc 43'!J39+'bloc 44'!J39+'bloc 45'!J39+'bloc 46'!J39+'bloc 47'!J40</f>
        <v>2520</v>
      </c>
      <c r="K37" s="53">
        <f>'bloc 36'!J39+'bloc 37'!K42+'bloc 38'!M41+'bloc 39'!L41+bloc40!K39+'bloc 41'!K39+'bloc 42'!K39+'bloc 43'!K39+'bloc 44'!K39+'bloc 45'!K39+'bloc 46'!K39+'bloc 47'!K40</f>
        <v>14520</v>
      </c>
      <c r="L37" s="54"/>
    </row>
    <row r="38" spans="2:15" ht="15.75" x14ac:dyDescent="0.2">
      <c r="B38" s="64">
        <v>3.8</v>
      </c>
      <c r="C38" s="16" t="s">
        <v>43</v>
      </c>
      <c r="D38" s="53">
        <f>'bloc 36'!C40+'bloc 37'!D43+'bloc 38'!F42+'bloc 39'!E42+bloc40!D40+'bloc 41'!D40+'bloc 42'!D40+'bloc 43'!D40+'bloc 44'!D40+'bloc 45'!D40+'bloc 46'!D40+'bloc 47'!D41</f>
        <v>292100.15999999997</v>
      </c>
      <c r="E38" s="53">
        <f>'bloc 36'!D40+'bloc 37'!E43+'bloc 38'!G42+'bloc 39'!F42+bloc40!E40+'bloc 41'!E40+'bloc 42'!E40+'bloc 43'!E40+'bloc 44'!E40+'bloc 45'!E40+'bloc 46'!E40+'bloc 47'!E41</f>
        <v>0</v>
      </c>
      <c r="F38" s="53">
        <f>'bloc 36'!E40+'bloc 37'!F43+'bloc 38'!H42+'bloc 39'!G42+bloc40!F40+'bloc 41'!F40+'bloc 42'!F40+'bloc 43'!F40+'bloc 44'!F40+'bloc 45'!F40+'bloc 46'!F40+'bloc 47'!F41</f>
        <v>0</v>
      </c>
      <c r="G38" s="53">
        <f>'bloc 36'!F40+'bloc 37'!G43+'bloc 38'!I42+'bloc 39'!H42+bloc40!G40+'bloc 41'!G40+'bloc 42'!G40+'bloc 43'!G40+'bloc 44'!G40+'bloc 45'!G40+'bloc 46'!G40+'bloc 47'!G41</f>
        <v>0</v>
      </c>
      <c r="H38" s="53">
        <f>'bloc 36'!G40+'bloc 37'!H43+'bloc 38'!J42+'bloc 39'!I42+bloc40!H40+'bloc 41'!H40+'bloc 42'!H40+'bloc 43'!H40+'bloc 44'!H40+'bloc 45'!H40+'bloc 46'!H40+'bloc 47'!H41</f>
        <v>330800.03999999986</v>
      </c>
      <c r="I38" s="53">
        <f>'bloc 36'!H40+'bloc 37'!I43+'bloc 38'!K42+'bloc 39'!J42+bloc40!I40+'bloc 41'!I40+'bloc 42'!I40+'bloc 43'!I40+'bloc 44'!I40+'bloc 45'!I40+'bloc 46'!I40+'bloc 47'!I41</f>
        <v>0</v>
      </c>
      <c r="J38" s="53">
        <f>'bloc 36'!I40+'bloc 37'!J43+'bloc 38'!L42+'bloc 39'!K42+bloc40!J40+'bloc 41'!J40+'bloc 42'!J40+'bloc 43'!J40+'bloc 44'!J40+'bloc 45'!J40+'bloc 46'!J40+'bloc 47'!J41</f>
        <v>61341.033600000002</v>
      </c>
      <c r="K38" s="53">
        <f>'bloc 36'!J40+'bloc 37'!K43+'bloc 38'!M42+'bloc 39'!L42+bloc40!K40+'bloc 41'!K40+'bloc 42'!K40+'bloc 43'!K40+'bloc 44'!K40+'bloc 45'!K40+'bloc 46'!K40+'bloc 47'!K41</f>
        <v>353441.19360000006</v>
      </c>
      <c r="L38" s="54"/>
    </row>
    <row r="39" spans="2:15" ht="15.75" x14ac:dyDescent="0.2">
      <c r="B39" s="19" t="s">
        <v>44</v>
      </c>
      <c r="C39" s="16" t="s">
        <v>45</v>
      </c>
      <c r="D39" s="53">
        <f>'bloc 36'!C41+'bloc 37'!D44+'bloc 38'!F43+'bloc 39'!E43+bloc40!D41+'bloc 41'!D41+'bloc 42'!D41+'bloc 43'!D41+'bloc 44'!D41+'bloc 45'!D41+'bloc 46'!D41+'bloc 47'!D42</f>
        <v>20000.04</v>
      </c>
      <c r="E39" s="53">
        <f>'bloc 36'!D41+'bloc 37'!E44+'bloc 38'!G43+'bloc 39'!F43+bloc40!E41+'bloc 41'!E41+'bloc 42'!E41+'bloc 43'!E41+'bloc 44'!E41+'bloc 45'!E41+'bloc 46'!E41+'bloc 47'!E42</f>
        <v>0</v>
      </c>
      <c r="F39" s="53">
        <f>'bloc 36'!E41+'bloc 37'!F44+'bloc 38'!H43+'bloc 39'!G43+bloc40!F41+'bloc 41'!F41+'bloc 42'!F41+'bloc 43'!F41+'bloc 44'!F41+'bloc 45'!F41+'bloc 46'!F41+'bloc 47'!F42</f>
        <v>0</v>
      </c>
      <c r="G39" s="53">
        <f>'bloc 36'!F41+'bloc 37'!G44+'bloc 38'!I43+'bloc 39'!H43+bloc40!G41+'bloc 41'!G41+'bloc 42'!G41+'bloc 43'!G41+'bloc 44'!G41+'bloc 45'!G41+'bloc 46'!G41+'bloc 47'!G42</f>
        <v>0</v>
      </c>
      <c r="H39" s="53">
        <f>'bloc 36'!G41+'bloc 37'!H44+'bloc 38'!J43+'bloc 39'!I43+bloc40!H41+'bloc 41'!H41+'bloc 42'!H41+'bloc 43'!H41+'bloc 44'!H41+'bloc 45'!H41+'bloc 46'!H41+'bloc 47'!H42</f>
        <v>20000.04</v>
      </c>
      <c r="I39" s="53">
        <f>'bloc 36'!H41+'bloc 37'!I44+'bloc 38'!K43+'bloc 39'!J43+bloc40!I41+'bloc 41'!I41+'bloc 42'!I41+'bloc 43'!I41+'bloc 44'!I41+'bloc 45'!I41+'bloc 46'!I41+'bloc 47'!I42</f>
        <v>0</v>
      </c>
      <c r="J39" s="53">
        <f>'bloc 36'!I41+'bloc 37'!J44+'bloc 38'!L43+'bloc 39'!K43+bloc40!J41+'bloc 41'!J41+'bloc 42'!J41+'bloc 43'!J41+'bloc 44'!J41+'bloc 45'!J41+'bloc 46'!J41+'bloc 47'!J42</f>
        <v>4200.0083999999997</v>
      </c>
      <c r="K39" s="53">
        <f>'bloc 36'!J41+'bloc 37'!K44+'bloc 38'!M43+'bloc 39'!L43+bloc40!K41+'bloc 41'!K41+'bloc 42'!K41+'bloc 43'!K41+'bloc 44'!K41+'bloc 45'!K41+'bloc 46'!K41+'bloc 47'!K42</f>
        <v>24200.0484</v>
      </c>
      <c r="L39" s="54"/>
    </row>
    <row r="40" spans="2:15" ht="15.75" x14ac:dyDescent="0.2">
      <c r="B40" s="19" t="s">
        <v>46</v>
      </c>
      <c r="C40" s="16" t="s">
        <v>47</v>
      </c>
      <c r="D40" s="53">
        <f>'bloc 36'!C42+'bloc 37'!D45+'bloc 38'!F44+'bloc 39'!E44+bloc40!D42+'bloc 41'!D42+'bloc 42'!D42+'bloc 43'!D42+'bloc 44'!D42+'bloc 45'!D42+'bloc 46'!D42+'bloc 47'!D43</f>
        <v>12000</v>
      </c>
      <c r="E40" s="53">
        <f>'bloc 36'!D42+'bloc 37'!E45+'bloc 38'!G44+'bloc 39'!F44+bloc40!E42+'bloc 41'!E42+'bloc 42'!E42+'bloc 43'!E42+'bloc 44'!E42+'bloc 45'!E42+'bloc 46'!E42+'bloc 47'!E43</f>
        <v>0</v>
      </c>
      <c r="F40" s="53">
        <f>'bloc 36'!E42+'bloc 37'!F45+'bloc 38'!H44+'bloc 39'!G44+bloc40!F42+'bloc 41'!F42+'bloc 42'!F42+'bloc 43'!F42+'bloc 44'!F42+'bloc 45'!F42+'bloc 46'!F42+'bloc 47'!F43</f>
        <v>0</v>
      </c>
      <c r="G40" s="53">
        <f>'bloc 36'!F42+'bloc 37'!G45+'bloc 38'!I44+'bloc 39'!H44+bloc40!G42+'bloc 41'!G42+'bloc 42'!G42+'bloc 43'!G42+'bloc 44'!G42+'bloc 45'!G42+'bloc 46'!G42+'bloc 47'!G43</f>
        <v>0</v>
      </c>
      <c r="H40" s="53">
        <f>'bloc 36'!G42+'bloc 37'!H45+'bloc 38'!J44+'bloc 39'!I44+bloc40!H42+'bloc 41'!H42+'bloc 42'!H42+'bloc 43'!H42+'bloc 44'!H42+'bloc 45'!H42+'bloc 46'!H42+'bloc 47'!H43</f>
        <v>12000</v>
      </c>
      <c r="I40" s="53">
        <f>'bloc 36'!H42+'bloc 37'!I45+'bloc 38'!K44+'bloc 39'!J44+bloc40!I42+'bloc 41'!I42+'bloc 42'!I42+'bloc 43'!I42+'bloc 44'!I42+'bloc 45'!I42+'bloc 46'!I42+'bloc 47'!I43</f>
        <v>0</v>
      </c>
      <c r="J40" s="53">
        <f>'bloc 36'!I42+'bloc 37'!J45+'bloc 38'!L44+'bloc 39'!K44+bloc40!J42+'bloc 41'!J42+'bloc 42'!J42+'bloc 43'!J42+'bloc 44'!J42+'bloc 45'!J42+'bloc 46'!J42+'bloc 47'!J43</f>
        <v>2520</v>
      </c>
      <c r="K40" s="53">
        <f>'bloc 36'!J42+'bloc 37'!K45+'bloc 38'!M44+'bloc 39'!L44+bloc40!K42+'bloc 41'!K42+'bloc 42'!K42+'bloc 43'!K42+'bloc 44'!K42+'bloc 45'!K42+'bloc 46'!K42+'bloc 47'!K43</f>
        <v>14520</v>
      </c>
      <c r="L40" s="54"/>
    </row>
    <row r="41" spans="2:15" ht="47.25" x14ac:dyDescent="0.2">
      <c r="B41" s="19" t="s">
        <v>48</v>
      </c>
      <c r="C41" s="16" t="s">
        <v>49</v>
      </c>
      <c r="D41" s="53">
        <f>'bloc 36'!C43+'bloc 37'!D46+'bloc 38'!F45+'bloc 39'!E45+bloc40!D43+'bloc 41'!D43+'bloc 42'!D43+'bloc 43'!D43+'bloc 44'!D43+'bloc 45'!D43+'bloc 46'!D43+'bloc 47'!D44</f>
        <v>8000.04</v>
      </c>
      <c r="E41" s="53">
        <f>'bloc 36'!D43+'bloc 37'!E46+'bloc 38'!G45+'bloc 39'!F45+bloc40!E43+'bloc 41'!E43+'bloc 42'!E43+'bloc 43'!E43+'bloc 44'!E43+'bloc 45'!E43+'bloc 46'!E43+'bloc 47'!E44</f>
        <v>0</v>
      </c>
      <c r="F41" s="53">
        <f>'bloc 36'!E43+'bloc 37'!F46+'bloc 38'!H45+'bloc 39'!G45+bloc40!F43+'bloc 41'!F43+'bloc 42'!F43+'bloc 43'!F43+'bloc 44'!F43+'bloc 45'!F43+'bloc 46'!F43+'bloc 47'!F44</f>
        <v>0</v>
      </c>
      <c r="G41" s="53">
        <f>'bloc 36'!F43+'bloc 37'!G46+'bloc 38'!I45+'bloc 39'!H45+bloc40!G43+'bloc 41'!G43+'bloc 42'!G43+'bloc 43'!G43+'bloc 44'!G43+'bloc 45'!G43+'bloc 46'!G43+'bloc 47'!G44</f>
        <v>0</v>
      </c>
      <c r="H41" s="53">
        <f>'bloc 36'!G43+'bloc 37'!H46+'bloc 38'!J45+'bloc 39'!I45+bloc40!H43+'bloc 41'!H43+'bloc 42'!H43+'bloc 43'!H43+'bloc 44'!H43+'bloc 45'!H43+'bloc 46'!H43+'bloc 47'!H44</f>
        <v>8000.04</v>
      </c>
      <c r="I41" s="53">
        <f>'bloc 36'!H43+'bloc 37'!I46+'bloc 38'!K45+'bloc 39'!J45+bloc40!I43+'bloc 41'!I43+'bloc 42'!I43+'bloc 43'!I43+'bloc 44'!I43+'bloc 45'!I43+'bloc 46'!I43+'bloc 47'!I44</f>
        <v>0</v>
      </c>
      <c r="J41" s="53">
        <f>'bloc 36'!I43+'bloc 37'!J46+'bloc 38'!L45+'bloc 39'!K45+bloc40!J43+'bloc 41'!J43+'bloc 42'!J43+'bloc 43'!J43+'bloc 44'!J43+'bloc 45'!J43+'bloc 46'!J43+'bloc 47'!J44</f>
        <v>1680.0084000000004</v>
      </c>
      <c r="K41" s="53">
        <f>'bloc 36'!J43+'bloc 37'!K46+'bloc 38'!M45+'bloc 39'!L45+bloc40!K43+'bloc 41'!K43+'bloc 42'!K43+'bloc 43'!K43+'bloc 44'!K43+'bloc 45'!K43+'bloc 46'!K43+'bloc 47'!K44</f>
        <v>9680.0483999999979</v>
      </c>
      <c r="L41" s="54"/>
    </row>
    <row r="42" spans="2:15" ht="15.75" x14ac:dyDescent="0.2">
      <c r="B42" s="19" t="s">
        <v>50</v>
      </c>
      <c r="C42" s="16" t="s">
        <v>51</v>
      </c>
      <c r="D42" s="53">
        <f>'bloc 36'!C46+'bloc 37'!D49+'bloc 38'!F48+'bloc 39'!E48+bloc40!D46+'bloc 41'!D46+'bloc 42'!D46+'bloc 43'!D46+'bloc 44'!D46+'bloc 45'!D46+'bloc 46'!D46+'bloc 47'!D47</f>
        <v>965080.28000000014</v>
      </c>
      <c r="E42" s="53">
        <f>'bloc 36'!D44+'bloc 37'!E47+'bloc 38'!G46+'bloc 39'!F46+bloc40!E44+'bloc 41'!E44+'bloc 42'!E44+'bloc 43'!E44+'bloc 44'!E44+'bloc 45'!E44+'bloc 46'!E44+'bloc 47'!E45</f>
        <v>0</v>
      </c>
      <c r="F42" s="53">
        <f>'bloc 36'!E44+'bloc 37'!F47+'bloc 38'!H46+'bloc 39'!G46+bloc40!F44+'bloc 41'!F44+'bloc 42'!F44+'bloc 43'!F44+'bloc 44'!F44+'bloc 45'!F44+'bloc 46'!F44+'bloc 47'!F45</f>
        <v>0</v>
      </c>
      <c r="G42" s="53">
        <f>'bloc 36'!F44+'bloc 37'!G47+'bloc 38'!I46+'bloc 39'!H46+bloc40!G44+'bloc 41'!G44+'bloc 42'!G44+'bloc 43'!G44+'bloc 44'!G44+'bloc 45'!G44+'bloc 46'!G44+'bloc 47'!G45</f>
        <v>0</v>
      </c>
      <c r="H42" s="53">
        <f>'bloc 36'!G44+'bloc 37'!H47+'bloc 38'!J46+'bloc 39'!I46+bloc40!H44+'bloc 41'!H44+'bloc 42'!H44+'bloc 43'!H44+'bloc 44'!H44+'bloc 45'!H44+'bloc 46'!H44+'bloc 47'!H45</f>
        <v>258000</v>
      </c>
      <c r="I42" s="53">
        <f>'bloc 36'!H44+'bloc 37'!I47+'bloc 38'!K46+'bloc 39'!J46+bloc40!I44+'bloc 41'!I44+'bloc 42'!I44+'bloc 43'!I44+'bloc 44'!I44+'bloc 45'!I44+'bloc 46'!I44+'bloc 47'!I45</f>
        <v>0</v>
      </c>
      <c r="J42" s="53">
        <f>'bloc 36'!I44+'bloc 37'!J47+'bloc 38'!L46+'bloc 39'!K46+bloc40!J44+'bloc 41'!J44+'bloc 42'!J44+'bloc 43'!J44+'bloc 44'!J44+'bloc 45'!J44+'bloc 46'!J44+'bloc 47'!J45</f>
        <v>51450.008399999984</v>
      </c>
      <c r="K42" s="53">
        <f>'bloc 36'!J44+'bloc 37'!K47+'bloc 38'!M46+'bloc 39'!L46+bloc40!K44+'bloc 41'!K44+'bloc 42'!K44+'bloc 43'!K44+'bloc 44'!K44+'bloc 45'!K44+'bloc 46'!K44+'bloc 47'!K45</f>
        <v>296450.04839999997</v>
      </c>
      <c r="L42" s="54"/>
    </row>
    <row r="43" spans="2:15" ht="47.25" x14ac:dyDescent="0.2">
      <c r="B43" s="25" t="s">
        <v>52</v>
      </c>
      <c r="C43" s="21" t="s">
        <v>53</v>
      </c>
      <c r="D43" s="53">
        <f>'bloc 36'!C45+'bloc 37'!D48+'bloc 38'!F47+'bloc 39'!E47+bloc40!D45+'bloc 41'!D45+'bloc 42'!D45+'bloc 43'!D45+'bloc 44'!D45+'bloc 45'!D45+'bloc 46'!D45+'bloc 47'!D46</f>
        <v>27100.080000000002</v>
      </c>
      <c r="E43" s="53"/>
      <c r="F43" s="53">
        <v>0</v>
      </c>
      <c r="G43" s="53">
        <v>0</v>
      </c>
      <c r="H43" s="53">
        <v>1666.67</v>
      </c>
      <c r="I43" s="53">
        <f t="shared" si="2"/>
        <v>5149.0152000000007</v>
      </c>
      <c r="J43" s="53">
        <v>0</v>
      </c>
      <c r="K43" s="53">
        <f t="shared" si="3"/>
        <v>32249.095200000003</v>
      </c>
      <c r="L43" s="68"/>
      <c r="O43" s="162"/>
    </row>
    <row r="44" spans="2:15" s="126" customFormat="1" ht="15.75" x14ac:dyDescent="0.2">
      <c r="B44" s="167" t="s">
        <v>54</v>
      </c>
      <c r="C44" s="168"/>
      <c r="D44" s="69">
        <f>'bloc 36'!C46+'bloc 37'!D49+'bloc 38'!F48+'bloc 39'!E48+bloc40!D46+'bloc 41'!D46+'bloc 42'!D46+'bloc 43'!D46+'bloc 44'!D46+'bloc 45'!D46+'bloc 46'!D46+'bloc 47'!D47</f>
        <v>965080.28000000014</v>
      </c>
      <c r="E44" s="69">
        <f>'bloc 36'!D46+'bloc 37'!E49+'bloc 38'!G48+'bloc 39'!F48+bloc40!E46+'bloc 41'!E46+'bloc 42'!E46+'bloc 43'!E46+'bloc 44'!E46+'bloc 45'!E46+'bloc 46'!E46+'bloc 47'!E47</f>
        <v>0</v>
      </c>
      <c r="F44" s="69">
        <f>'bloc 36'!E46+'bloc 37'!F49+'bloc 38'!H48+'bloc 39'!G48+bloc40!F46+'bloc 41'!F46+'bloc 42'!F46+'bloc 43'!F46+'bloc 44'!F46+'bloc 45'!F46+'bloc 46'!F46+'bloc 47'!F47</f>
        <v>129999.96</v>
      </c>
      <c r="G44" s="69">
        <f>'bloc 36'!F46+'bloc 37'!G49+'bloc 38'!I48+'bloc 39'!H48+bloc40!G46+'bloc 41'!G46+'bloc 42'!G46+'bloc 43'!G46+'bloc 44'!G46+'bloc 45'!G46+'bloc 46'!G46+'bloc 47'!G47</f>
        <v>0</v>
      </c>
      <c r="H44" s="69">
        <f>'bloc 36'!G46+'bloc 37'!H49+'bloc 38'!J48+'bloc 39'!I48+bloc40!H46+'bloc 41'!H46+'bloc 42'!H46+'bloc 43'!H46+'bloc 44'!H46+'bloc 45'!H46+'bloc 46'!H46+'bloc 47'!H47</f>
        <v>1101770.1599999997</v>
      </c>
      <c r="I44" s="69">
        <f>'bloc 36'!H46+'bloc 37'!I49+'bloc 38'!K48+'bloc 39'!J48+bloc40!I46+'bloc 41'!I46+'bloc 42'!I46+'bloc 43'!I46+'bloc 44'!I46+'bloc 45'!I46+'bloc 46'!I46+'bloc 47'!I47</f>
        <v>132046.21519999998</v>
      </c>
      <c r="J44" s="69">
        <f>'bloc 36'!I46+'bloc 37'!J49+'bloc 38'!L48+'bloc 39'!K48+bloc40!J46+'bloc 41'!J46+'bloc 42'!J46+'bloc 43'!J46+'bloc 44'!J46+'bloc 45'!J46+'bloc 46'!J46+'bloc 47'!J47</f>
        <v>84021.03360000001</v>
      </c>
      <c r="K44" s="69">
        <f>'bloc 36'!J46+'bloc 37'!K49+'bloc 38'!M48+'bloc 39'!L48+bloc40!K46+'bloc 41'!K46+'bloc 42'!K46+'bloc 43'!K46+'bloc 44'!K46+'bloc 45'!K46+'bloc 46'!K46+'bloc 47'!K47</f>
        <v>1311147.4887999999</v>
      </c>
      <c r="L44" s="70"/>
    </row>
    <row r="45" spans="2:15" ht="15.75" x14ac:dyDescent="0.2">
      <c r="B45" s="164" t="s">
        <v>103</v>
      </c>
      <c r="C45" s="165"/>
      <c r="D45" s="165"/>
      <c r="E45" s="165"/>
      <c r="F45" s="165"/>
      <c r="G45" s="165"/>
      <c r="H45" s="165"/>
      <c r="I45" s="165"/>
      <c r="J45" s="165"/>
      <c r="K45" s="165"/>
      <c r="L45" s="166"/>
    </row>
    <row r="46" spans="2:15" ht="15.75" x14ac:dyDescent="0.2">
      <c r="B46" s="64">
        <v>4.0999999999999996</v>
      </c>
      <c r="C46" s="16" t="s">
        <v>55</v>
      </c>
      <c r="D46" s="72">
        <f>'bloc 36'!C48+'bloc 37'!D51+'bloc 38'!F50+'bloc 39'!E50+bloc40!D48+'bloc 41'!D48+'bloc 42'!D48+'bloc 43'!D48+'bloc 44'!D48+'bloc 45'!D48+'bloc 46'!D48+'bloc 47'!D49</f>
        <v>28183419.550000001</v>
      </c>
      <c r="E46" s="72">
        <f>'bloc 36'!D48+'bloc 37'!E51+'bloc 38'!G50+'bloc 39'!F50+bloc40!E48+'bloc 41'!E48+'bloc 42'!E48+'bloc 43'!E48+'bloc 44'!E48+'bloc 45'!E48+'bloc 46'!E48+'bloc 47'!E49</f>
        <v>0</v>
      </c>
      <c r="F46" s="72">
        <f>'bloc 36'!E48+'bloc 37'!F51+'bloc 38'!H50+'bloc 39'!G50+bloc40!F48+'bloc 41'!F48+'bloc 42'!F48+'bloc 43'!F48+'bloc 44'!F48+'bloc 45'!F48+'bloc 46'!F48+'bloc 47'!F49</f>
        <v>0</v>
      </c>
      <c r="G46" s="72">
        <f>'bloc 36'!F48+'bloc 37'!G51+'bloc 38'!I50+'bloc 39'!H50+bloc40!G48+'bloc 41'!G48+'bloc 42'!G48+'bloc 43'!G48+'bloc 44'!G48+'bloc 45'!G48+'bloc 46'!G48+'bloc 47'!G49</f>
        <v>0</v>
      </c>
      <c r="H46" s="72">
        <f>'bloc 36'!G48+'bloc 37'!H51+'bloc 38'!J50+'bloc 39'!I50+bloc40!H48+'bloc 41'!H48+'bloc 42'!H48+'bloc 43'!H48+'bloc 44'!H48+'bloc 45'!H48+'bloc 46'!H48+'bloc 47'!H49</f>
        <v>28882330.559999991</v>
      </c>
      <c r="I46" s="72">
        <f>'bloc 36'!H48+'bloc 37'!I51+'bloc 38'!K50+'bloc 39'!J50+bloc40!I48+'bloc 41'!I48+'bloc 42'!I48+'bloc 43'!I48+'bloc 44'!I48+'bloc 45'!I48+'bloc 46'!I48+'bloc 47'!I49</f>
        <v>0</v>
      </c>
      <c r="J46" s="72">
        <f>'bloc 36'!I48+'bloc 37'!J51+'bloc 38'!L50+'bloc 39'!K50+bloc40!J48+'bloc 41'!J48+'bloc 42'!J48+'bloc 43'!J48+'bloc 44'!J48+'bloc 45'!J48+'bloc 46'!J48+'bloc 47'!J49</f>
        <v>5918518.1055000005</v>
      </c>
      <c r="K46" s="72">
        <f>D46+F46+I46+J46</f>
        <v>34101937.655500002</v>
      </c>
      <c r="L46" s="76"/>
    </row>
    <row r="47" spans="2:15" ht="15.75" x14ac:dyDescent="0.2">
      <c r="B47" s="28" t="s">
        <v>56</v>
      </c>
      <c r="C47" s="29" t="s">
        <v>57</v>
      </c>
      <c r="D47" s="72">
        <f>'bloc 36'!C49+'bloc 37'!D52+'bloc 38'!F51+'bloc 39'!E51+bloc40!D49+'bloc 41'!D49+'bloc 42'!D49+'bloc 43'!D49+'bloc 44'!D49+'bloc 45'!D49+'bloc 46'!D49+'bloc 47'!D50</f>
        <v>26184291.960000001</v>
      </c>
      <c r="E47" s="72">
        <f>'bloc 36'!D49+'bloc 37'!E52+'bloc 38'!G51+'bloc 39'!F51+bloc40!E49+'bloc 41'!E49+'bloc 42'!E49+'bloc 43'!E49+'bloc 44'!E49+'bloc 45'!E49+'bloc 46'!E49+'bloc 47'!E50</f>
        <v>0</v>
      </c>
      <c r="F47" s="72">
        <f>'bloc 36'!E49+'bloc 37'!F52+'bloc 38'!H51+'bloc 39'!G51+bloc40!F49+'bloc 41'!F49+'bloc 42'!F49+'bloc 43'!F49+'bloc 44'!F49+'bloc 45'!F49+'bloc 46'!F49+'bloc 47'!F50</f>
        <v>0</v>
      </c>
      <c r="G47" s="72">
        <f>'bloc 36'!F49+'bloc 37'!G52+'bloc 38'!I51+'bloc 39'!H51+bloc40!G49+'bloc 41'!G49+'bloc 42'!G49+'bloc 43'!G49+'bloc 44'!G49+'bloc 45'!G49+'bloc 46'!G49+'bloc 47'!G50</f>
        <v>0</v>
      </c>
      <c r="H47" s="72">
        <f>'bloc 36'!G49+'bloc 37'!H52+'bloc 38'!J51+'bloc 39'!I51+bloc40!H49+'bloc 41'!H49+'bloc 42'!H49+'bloc 43'!H49+'bloc 44'!H49+'bloc 45'!H49+'bloc 46'!H49+'bloc 47'!H50</f>
        <v>28842124.200000007</v>
      </c>
      <c r="I47" s="72">
        <f>'bloc 36'!H49+'bloc 37'!I52+'bloc 38'!K51+'bloc 39'!J51+bloc40!I49+'bloc 41'!I49+'bloc 42'!I49+'bloc 43'!I49+'bloc 44'!I49+'bloc 45'!I49+'bloc 46'!I49+'bloc 47'!I50</f>
        <v>0</v>
      </c>
      <c r="J47" s="72">
        <f>'bloc 36'!I49+'bloc 37'!J52+'bloc 38'!L51+'bloc 39'!K51+bloc40!J49+'bloc 41'!J49+'bloc 42'!J49+'bloc 43'!J49+'bloc 44'!J49+'bloc 45'!J49+'bloc 46'!J49+'bloc 47'!J50</f>
        <v>5498701.3115999987</v>
      </c>
      <c r="K47" s="72">
        <f t="shared" ref="K47:K58" si="4">D47+F47+I47+J47</f>
        <v>31682993.271600001</v>
      </c>
      <c r="L47" s="75"/>
    </row>
    <row r="48" spans="2:15" ht="15.75" x14ac:dyDescent="0.2">
      <c r="B48" s="28" t="s">
        <v>58</v>
      </c>
      <c r="C48" s="29" t="s">
        <v>61</v>
      </c>
      <c r="D48" s="72">
        <f>'bloc 36'!C50+'bloc 37'!D53+'bloc 38'!F52+'bloc 39'!E52+bloc40!D50+'bloc 41'!D50+'bloc 42'!D50+'bloc 43'!D50+'bloc 44'!D50+'bloc 45'!D50+'bloc 46'!D50+'bloc 47'!D51</f>
        <v>50944.020000000011</v>
      </c>
      <c r="E48" s="72">
        <f>'bloc 36'!D50+'bloc 37'!E53+'bloc 38'!G52+'bloc 39'!F52+bloc40!E50+'bloc 41'!E50+'bloc 42'!E50+'bloc 43'!E50+'bloc 44'!E50+'bloc 45'!E50+'bloc 46'!E50+'bloc 47'!E51</f>
        <v>0</v>
      </c>
      <c r="F48" s="72">
        <f>'bloc 36'!E50+'bloc 37'!F53+'bloc 38'!H52+'bloc 39'!G52+bloc40!F50+'bloc 41'!F50+'bloc 42'!F50+'bloc 43'!F50+'bloc 44'!F50+'bloc 45'!F50+'bloc 46'!F50+'bloc 47'!F51</f>
        <v>0</v>
      </c>
      <c r="G48" s="72">
        <f>'bloc 36'!F50+'bloc 37'!G53+'bloc 38'!I52+'bloc 39'!H52+bloc40!G50+'bloc 41'!G50+'bloc 42'!G50+'bloc 43'!G50+'bloc 44'!G50+'bloc 45'!G50+'bloc 46'!G50+'bloc 47'!G51</f>
        <v>0</v>
      </c>
      <c r="H48" s="72">
        <f>'bloc 36'!G50+'bloc 37'!H53+'bloc 38'!J52+'bloc 39'!I52+bloc40!H50+'bloc 41'!H50+'bloc 42'!H50+'bloc 43'!H50+'bloc 44'!H50+'bloc 45'!H50+'bloc 46'!H50+'bloc 47'!H51</f>
        <v>35159.519999999997</v>
      </c>
      <c r="I48" s="72">
        <f>'bloc 36'!H50+'bloc 37'!I53+'bloc 38'!K52+'bloc 39'!J52+bloc40!I50+'bloc 41'!I50+'bloc 42'!I50+'bloc 43'!I50+'bloc 44'!I50+'bloc 45'!I50+'bloc 46'!I50+'bloc 47'!I51</f>
        <v>0</v>
      </c>
      <c r="J48" s="72">
        <f>'bloc 36'!I50+'bloc 37'!J53+'bloc 38'!L52+'bloc 39'!K52+bloc40!J50+'bloc 41'!J50+'bloc 42'!J50+'bloc 43'!J50+'bloc 44'!J50+'bloc 45'!J50+'bloc 46'!J50+'bloc 47'!J51</f>
        <v>10698.244199999999</v>
      </c>
      <c r="K48" s="72">
        <f t="shared" si="4"/>
        <v>61642.264200000012</v>
      </c>
      <c r="L48" s="73"/>
    </row>
    <row r="49" spans="2:12" ht="15.75" x14ac:dyDescent="0.2">
      <c r="B49" s="28" t="s">
        <v>60</v>
      </c>
      <c r="C49" s="29" t="s">
        <v>59</v>
      </c>
      <c r="D49" s="72">
        <f>'bloc 36'!C51+'bloc 37'!D54+'bloc 38'!F53+'bloc 39'!E53+bloc40!D51+'bloc 41'!D51+'bloc 42'!D51+'bloc 43'!D51+'bloc 44'!D51+'bloc 45'!D51+'bloc 46'!D51+'bloc 47'!D52</f>
        <v>12598.02</v>
      </c>
      <c r="E49" s="72">
        <f>'bloc 36'!D51+'bloc 37'!E54+'bloc 38'!G53+'bloc 39'!F53+bloc40!E51+'bloc 41'!E51+'bloc 42'!E51+'bloc 43'!E51+'bloc 44'!E51+'bloc 45'!E51+'bloc 46'!E51+'bloc 47'!E52</f>
        <v>0</v>
      </c>
      <c r="F49" s="72">
        <f>'bloc 36'!E51+'bloc 37'!F54+'bloc 38'!H53+'bloc 39'!G53+bloc40!F51+'bloc 41'!F51+'bloc 42'!F51+'bloc 43'!F51+'bloc 44'!F51+'bloc 45'!F51+'bloc 46'!F51+'bloc 47'!F52</f>
        <v>0</v>
      </c>
      <c r="G49" s="72">
        <f>'bloc 36'!F51+'bloc 37'!G54+'bloc 38'!I53+'bloc 39'!H53+bloc40!G51+'bloc 41'!G51+'bloc 42'!G51+'bloc 43'!G51+'bloc 44'!G51+'bloc 45'!G51+'bloc 46'!G51+'bloc 47'!G52</f>
        <v>0</v>
      </c>
      <c r="H49" s="72">
        <f>'bloc 36'!G51+'bloc 37'!H54+'bloc 38'!J53+'bloc 39'!I53+bloc40!H51+'bloc 41'!H51+'bloc 42'!H51+'bloc 43'!H51+'bloc 44'!H51+'bloc 45'!H51+'bloc 46'!H51+'bloc 47'!H52</f>
        <v>5046.84</v>
      </c>
      <c r="I49" s="72">
        <f>'bloc 36'!H51+'bloc 37'!I54+'bloc 38'!K53+'bloc 39'!J53+bloc40!I51+'bloc 41'!I51+'bloc 42'!I51+'bloc 43'!I51+'bloc 44'!I51+'bloc 45'!I51+'bloc 46'!I51+'bloc 47'!I52</f>
        <v>0</v>
      </c>
      <c r="J49" s="72">
        <f>'bloc 36'!I51+'bloc 37'!J54+'bloc 38'!L53+'bloc 39'!K53+bloc40!J51+'bloc 41'!J51+'bloc 42'!J51+'bloc 43'!J51+'bloc 44'!J51+'bloc 45'!J51+'bloc 46'!J51+'bloc 47'!J52</f>
        <v>2645.5841999999993</v>
      </c>
      <c r="K49" s="72">
        <f t="shared" si="4"/>
        <v>15243.6042</v>
      </c>
      <c r="L49" s="73"/>
    </row>
    <row r="50" spans="2:12" ht="15.75" x14ac:dyDescent="0.2">
      <c r="B50" s="28" t="s">
        <v>99</v>
      </c>
      <c r="C50" s="29" t="s">
        <v>64</v>
      </c>
      <c r="D50" s="72">
        <f>'bloc 36'!C52+'bloc 37'!D55+'bloc 38'!F54+'bloc 39'!E54+bloc40!D52+'bloc 41'!D52+'bloc 42'!D52+'bloc 43'!D52+'bloc 44'!D52+'bloc 45'!D52+'bloc 46'!D52+'bloc 47'!D53</f>
        <v>1935585.5499999996</v>
      </c>
      <c r="E50" s="72">
        <f>'bloc 36'!D52+'bloc 37'!E55+'bloc 38'!G54+'bloc 39'!F54+bloc40!E52+'bloc 41'!E52+'bloc 42'!E52+'bloc 43'!E52+'bloc 44'!E52+'bloc 45'!E52+'bloc 46'!E52+'bloc 47'!E53</f>
        <v>0</v>
      </c>
      <c r="F50" s="72">
        <f>'bloc 36'!E52+'bloc 37'!F55+'bloc 38'!H54+'bloc 39'!G54+bloc40!F52+'bloc 41'!F52+'bloc 42'!F52+'bloc 43'!F52+'bloc 44'!F52+'bloc 45'!F52+'bloc 46'!F52+'bloc 47'!F53</f>
        <v>0</v>
      </c>
      <c r="G50" s="72">
        <f>'bloc 36'!F52+'bloc 37'!G55+'bloc 38'!I54+'bloc 39'!H54+bloc40!G52+'bloc 41'!G52+'bloc 42'!G52+'bloc 43'!G52+'bloc 44'!G52+'bloc 45'!G52+'bloc 46'!G52+'bloc 47'!G53</f>
        <v>0</v>
      </c>
      <c r="H50" s="72">
        <f>'bloc 36'!G52+'bloc 37'!H55+'bloc 38'!J54+'bloc 39'!I54+bloc40!H52+'bloc 41'!H52+'bloc 42'!H52+'bloc 43'!H52+'bloc 44'!H52+'bloc 45'!H52+'bloc 46'!H52+'bloc 47'!H53</f>
        <v>0</v>
      </c>
      <c r="I50" s="72">
        <f>'bloc 36'!H52+'bloc 37'!I55+'bloc 38'!K54+'bloc 39'!J54+bloc40!I52+'bloc 41'!I52+'bloc 42'!I52+'bloc 43'!I52+'bloc 44'!I52+'bloc 45'!I52+'bloc 46'!I52+'bloc 47'!I53</f>
        <v>0</v>
      </c>
      <c r="J50" s="72">
        <f>'bloc 36'!I52+'bloc 37'!J55+'bloc 38'!L54+'bloc 39'!K54+bloc40!J52+'bloc 41'!J52+'bloc 42'!J52+'bloc 43'!J52+'bloc 44'!J52+'bloc 45'!J52+'bloc 46'!J52+'bloc 47'!J53</f>
        <v>406472.96550000005</v>
      </c>
      <c r="K50" s="72">
        <f t="shared" si="4"/>
        <v>2342058.5154999997</v>
      </c>
      <c r="L50" s="73"/>
    </row>
    <row r="51" spans="2:12" ht="31.5" x14ac:dyDescent="0.2">
      <c r="B51" s="64">
        <v>4.2</v>
      </c>
      <c r="C51" s="16" t="s">
        <v>62</v>
      </c>
      <c r="D51" s="72">
        <f>'bloc 36'!C53+'bloc 37'!D56+'bloc 38'!F55+'bloc 39'!E55+bloc40!D53+'bloc 41'!D53+'bloc 42'!D53+'bloc 43'!D53+'bloc 44'!D53+'bloc 45'!D53+'bloc 46'!D53+'bloc 47'!D54</f>
        <v>572432.22</v>
      </c>
      <c r="E51" s="72">
        <f>'bloc 36'!D53+'bloc 37'!E56+'bloc 38'!G55+'bloc 39'!F55+bloc40!E53+'bloc 41'!E53+'bloc 42'!E53+'bloc 43'!E53+'bloc 44'!E53+'bloc 45'!E53+'bloc 46'!E53+'bloc 47'!E54</f>
        <v>0</v>
      </c>
      <c r="F51" s="72">
        <f>'bloc 36'!E53+'bloc 37'!F56+'bloc 38'!H55+'bloc 39'!G55+bloc40!F53+'bloc 41'!F53+'bloc 42'!F53+'bloc 43'!F53+'bloc 44'!F53+'bloc 45'!F53+'bloc 46'!F53+'bloc 47'!F54</f>
        <v>0</v>
      </c>
      <c r="G51" s="72">
        <f>'bloc 36'!F53+'bloc 37'!G56+'bloc 38'!I55+'bloc 39'!H55+bloc40!G53+'bloc 41'!G53+'bloc 42'!G53+'bloc 43'!G53+'bloc 44'!G53+'bloc 45'!G53+'bloc 46'!G53+'bloc 47'!G54</f>
        <v>0</v>
      </c>
      <c r="H51" s="72">
        <f>'bloc 36'!G53+'bloc 37'!H56+'bloc 38'!J55+'bloc 39'!I55+bloc40!H53+'bloc 41'!H53+'bloc 42'!H53+'bloc 43'!H53+'bloc 44'!H53+'bloc 45'!H53+'bloc 46'!H53+'bloc 47'!H54</f>
        <v>2903878.2000000007</v>
      </c>
      <c r="I51" s="72">
        <f>'bloc 36'!H53+'bloc 37'!I56+'bloc 38'!K55+'bloc 39'!J55+bloc40!I53+'bloc 41'!I53+'bloc 42'!I53+'bloc 43'!I53+'bloc 44'!I53+'bloc 45'!I53+'bloc 46'!I53+'bloc 47'!I54</f>
        <v>0</v>
      </c>
      <c r="J51" s="72">
        <f>'bloc 36'!I53+'bloc 37'!J56+'bloc 38'!L55+'bloc 39'!K55+bloc40!J53+'bloc 41'!J53+'bloc 42'!J53+'bloc 43'!J53+'bloc 44'!J53+'bloc 45'!J53+'bloc 46'!J53+'bloc 47'!J54</f>
        <v>120210.7662</v>
      </c>
      <c r="K51" s="72">
        <f t="shared" si="4"/>
        <v>692642.98619999993</v>
      </c>
      <c r="L51" s="76"/>
    </row>
    <row r="52" spans="2:12" ht="15.75" x14ac:dyDescent="0.2">
      <c r="B52" s="28" t="s">
        <v>65</v>
      </c>
      <c r="C52" s="29" t="s">
        <v>61</v>
      </c>
      <c r="D52" s="72">
        <f>'bloc 36'!C54+'bloc 37'!D57+'bloc 38'!F56+'bloc 39'!E56+bloc40!D54+'bloc 41'!D54+'bloc 42'!D54+'bloc 43'!D54+'bloc 44'!D54+'bloc 45'!D54+'bloc 46'!D54+'bloc 47'!D55</f>
        <v>572432.22</v>
      </c>
      <c r="E52" s="72">
        <f>'bloc 36'!D54+'bloc 37'!E57+'bloc 38'!G56+'bloc 39'!F56+bloc40!E54+'bloc 41'!E54+'bloc 42'!E54+'bloc 43'!E54+'bloc 44'!E54+'bloc 45'!E54+'bloc 46'!E54+'bloc 47'!E55</f>
        <v>0</v>
      </c>
      <c r="F52" s="72">
        <f>'bloc 36'!E54+'bloc 37'!F57+'bloc 38'!H56+'bloc 39'!G56+bloc40!F54+'bloc 41'!F54+'bloc 42'!F54+'bloc 43'!F54+'bloc 44'!F54+'bloc 45'!F54+'bloc 46'!F54+'bloc 47'!F55</f>
        <v>0</v>
      </c>
      <c r="G52" s="72">
        <f>'bloc 36'!F54+'bloc 37'!G57+'bloc 38'!I56+'bloc 39'!H56+bloc40!G54+'bloc 41'!G54+'bloc 42'!G54+'bloc 43'!G54+'bloc 44'!G54+'bloc 45'!G54+'bloc 46'!G54+'bloc 47'!G55</f>
        <v>0</v>
      </c>
      <c r="H52" s="72">
        <f>'bloc 36'!G54+'bloc 37'!H57+'bloc 38'!J56+'bloc 39'!I56+bloc40!H54+'bloc 41'!H54+'bloc 42'!H54+'bloc 43'!H54+'bloc 44'!H54+'bloc 45'!H54+'bloc 46'!H54+'bloc 47'!H55</f>
        <v>450088.44</v>
      </c>
      <c r="I52" s="72">
        <f>'bloc 36'!H54+'bloc 37'!I57+'bloc 38'!K56+'bloc 39'!J56+bloc40!I54+'bloc 41'!I54+'bloc 42'!I54+'bloc 43'!I54+'bloc 44'!I54+'bloc 45'!I54+'bloc 46'!I54+'bloc 47'!I55</f>
        <v>0</v>
      </c>
      <c r="J52" s="72">
        <f>'bloc 36'!I54+'bloc 37'!J57+'bloc 38'!L56+'bloc 39'!K56+bloc40!J54+'bloc 41'!J54+'bloc 42'!J54+'bloc 43'!J54+'bloc 44'!J54+'bloc 45'!J54+'bloc 46'!J54+'bloc 47'!J55</f>
        <v>120210.7662</v>
      </c>
      <c r="K52" s="72">
        <f t="shared" si="4"/>
        <v>692642.98619999993</v>
      </c>
      <c r="L52" s="75"/>
    </row>
    <row r="53" spans="2:12" ht="31.5" x14ac:dyDescent="0.2">
      <c r="B53" s="64">
        <v>4.3</v>
      </c>
      <c r="C53" s="16" t="s">
        <v>66</v>
      </c>
      <c r="D53" s="72">
        <f>'bloc 36'!C55+'bloc 37'!D58+'bloc 38'!F57+'bloc 39'!E57+bloc40!D55+'bloc 41'!D55+'bloc 42'!D55+'bloc 43'!D55+'bloc 44'!D55+'bloc 45'!D55+'bloc 46'!D55+'bloc 47'!D56</f>
        <v>208000</v>
      </c>
      <c r="E53" s="72">
        <f>'bloc 36'!D55+'bloc 37'!E58+'bloc 38'!G57+'bloc 39'!F57+bloc40!E55+'bloc 41'!E55+'bloc 42'!E55+'bloc 43'!E55+'bloc 44'!E55+'bloc 45'!E55+'bloc 46'!E55+'bloc 47'!E56</f>
        <v>0</v>
      </c>
      <c r="F53" s="72">
        <f>'bloc 36'!E55+'bloc 37'!F58+'bloc 38'!H57+'bloc 39'!G57+bloc40!F55+'bloc 41'!F55+'bloc 42'!F55+'bloc 43'!F55+'bloc 44'!F55+'bloc 45'!F55+'bloc 46'!F55+'bloc 47'!F56</f>
        <v>0</v>
      </c>
      <c r="G53" s="72">
        <f>'bloc 36'!F55+'bloc 37'!G58+'bloc 38'!I57+'bloc 39'!H57+bloc40!G55+'bloc 41'!G55+'bloc 42'!G55+'bloc 43'!G55+'bloc 44'!G55+'bloc 45'!G55+'bloc 46'!G55+'bloc 47'!G56</f>
        <v>0</v>
      </c>
      <c r="H53" s="72">
        <f>'bloc 36'!G55+'bloc 37'!H58+'bloc 38'!J57+'bloc 39'!I57+bloc40!H55+'bloc 41'!H55+'bloc 42'!H55+'bloc 43'!H55+'bloc 44'!H55+'bloc 45'!H55+'bloc 46'!H55+'bloc 47'!H56</f>
        <v>900000</v>
      </c>
      <c r="I53" s="72">
        <f>'bloc 36'!H55+'bloc 37'!I58+'bloc 38'!K57+'bloc 39'!J57+bloc40!I55+'bloc 41'!I55+'bloc 42'!I55+'bloc 43'!I55+'bloc 44'!I55+'bloc 45'!I55+'bloc 46'!I55+'bloc 47'!I56</f>
        <v>0</v>
      </c>
      <c r="J53" s="72">
        <f>'bloc 36'!I55+'bloc 37'!J58+'bloc 38'!L57+'bloc 39'!K57+bloc40!J55+'bloc 41'!J55+'bloc 42'!J55+'bloc 43'!J55+'bloc 44'!J55+'bloc 45'!J55+'bloc 46'!J55+'bloc 47'!J56</f>
        <v>43680</v>
      </c>
      <c r="K53" s="72">
        <f t="shared" si="4"/>
        <v>251680</v>
      </c>
      <c r="L53" s="76"/>
    </row>
    <row r="54" spans="2:12" ht="15.75" x14ac:dyDescent="0.2">
      <c r="B54" s="28" t="s">
        <v>67</v>
      </c>
      <c r="C54" s="29" t="s">
        <v>61</v>
      </c>
      <c r="D54" s="72">
        <f>'bloc 36'!C56+'bloc 37'!D59+'bloc 38'!F58+'bloc 39'!E58+bloc40!D56+'bloc 41'!D56+'bloc 42'!D56+'bloc 43'!D56+'bloc 44'!D56+'bloc 45'!D56+'bloc 46'!D56+'bloc 47'!D57</f>
        <v>192000</v>
      </c>
      <c r="E54" s="72">
        <f>'bloc 36'!D56+'bloc 37'!E59+'bloc 38'!G58+'bloc 39'!F58+bloc40!E56+'bloc 41'!E56+'bloc 42'!E56+'bloc 43'!E56+'bloc 44'!E56+'bloc 45'!E56+'bloc 46'!E56+'bloc 47'!E57</f>
        <v>0</v>
      </c>
      <c r="F54" s="72">
        <f>'bloc 36'!E56+'bloc 37'!F59+'bloc 38'!H58+'bloc 39'!G58+bloc40!F56+'bloc 41'!F56+'bloc 42'!F56+'bloc 43'!F56+'bloc 44'!F56+'bloc 45'!F56+'bloc 46'!F56+'bloc 47'!F57</f>
        <v>0</v>
      </c>
      <c r="G54" s="72">
        <f>'bloc 36'!F56+'bloc 37'!G59+'bloc 38'!I58+'bloc 39'!H58+bloc40!G56+'bloc 41'!G56+'bloc 42'!G56+'bloc 43'!G56+'bloc 44'!G56+'bloc 45'!G56+'bloc 46'!G56+'bloc 47'!G57</f>
        <v>0</v>
      </c>
      <c r="H54" s="72">
        <f>'bloc 36'!G56+'bloc 37'!H59+'bloc 38'!J58+'bloc 39'!I58+bloc40!H56+'bloc 41'!H56+'bloc 42'!H56+'bloc 43'!H56+'bloc 44'!H56+'bloc 45'!H56+'bloc 46'!H56+'bloc 47'!H57</f>
        <v>900000</v>
      </c>
      <c r="I54" s="72">
        <f>'bloc 36'!H56+'bloc 37'!I59+'bloc 38'!K58+'bloc 39'!J58+bloc40!I56+'bloc 41'!I56+'bloc 42'!I56+'bloc 43'!I56+'bloc 44'!I56+'bloc 45'!I56+'bloc 46'!I56+'bloc 47'!I57</f>
        <v>0</v>
      </c>
      <c r="J54" s="72">
        <f>'bloc 36'!I56+'bloc 37'!J59+'bloc 38'!L58+'bloc 39'!K58+bloc40!J56+'bloc 41'!J56+'bloc 42'!J56+'bloc 43'!J56+'bloc 44'!J56+'bloc 45'!J56+'bloc 46'!J56+'bloc 47'!J57</f>
        <v>40320</v>
      </c>
      <c r="K54" s="72">
        <f t="shared" si="4"/>
        <v>232320</v>
      </c>
      <c r="L54" s="75"/>
    </row>
    <row r="55" spans="2:12" ht="47.25" x14ac:dyDescent="0.2">
      <c r="B55" s="64">
        <v>4.4000000000000004</v>
      </c>
      <c r="C55" s="16" t="s">
        <v>68</v>
      </c>
      <c r="D55" s="72">
        <f>'bloc 36'!C57+'bloc 37'!D60+'bloc 38'!F59+'bloc 39'!E59+bloc40!D57+'bloc 41'!D57+'bloc 42'!D57+'bloc 43'!D57+'bloc 44'!D57+'bloc 45'!D57+'bloc 46'!D57+'bloc 47'!D58</f>
        <v>0</v>
      </c>
      <c r="E55" s="72">
        <f>'bloc 36'!D57+'bloc 37'!E60+'bloc 38'!G59+'bloc 39'!F59+bloc40!E57+'bloc 41'!E57+'bloc 42'!E57+'bloc 43'!E57+'bloc 44'!E57+'bloc 45'!E57+'bloc 46'!E57+'bloc 47'!E58</f>
        <v>0</v>
      </c>
      <c r="F55" s="72">
        <f>'bloc 36'!E57+'bloc 37'!F60+'bloc 38'!H59+'bloc 39'!G59+bloc40!F57+'bloc 41'!F57+'bloc 42'!F57+'bloc 43'!F57+'bloc 44'!F57+'bloc 45'!F57+'bloc 46'!F57+'bloc 47'!F58</f>
        <v>0</v>
      </c>
      <c r="G55" s="72">
        <f>'bloc 36'!F57+'bloc 37'!G60+'bloc 38'!I59+'bloc 39'!H59+bloc40!G57+'bloc 41'!G57+'bloc 42'!G57+'bloc 43'!G57+'bloc 44'!G57+'bloc 45'!G57+'bloc 46'!G57+'bloc 47'!G58</f>
        <v>0</v>
      </c>
      <c r="H55" s="72">
        <f>'bloc 36'!G57+'bloc 37'!H60+'bloc 38'!J59+'bloc 39'!I59+bloc40!H57+'bloc 41'!H57+'bloc 42'!H57+'bloc 43'!H57+'bloc 44'!H57+'bloc 45'!H57+'bloc 46'!H57+'bloc 47'!H58</f>
        <v>0</v>
      </c>
      <c r="I55" s="72">
        <f>'bloc 36'!H57+'bloc 37'!I60+'bloc 38'!K59+'bloc 39'!J59+bloc40!I57+'bloc 41'!I57+'bloc 42'!I57+'bloc 43'!I57+'bloc 44'!I57+'bloc 45'!I57+'bloc 46'!I57+'bloc 47'!I58</f>
        <v>0</v>
      </c>
      <c r="J55" s="72">
        <f>'bloc 36'!I57+'bloc 37'!J60+'bloc 38'!L59+'bloc 39'!K59+bloc40!J57+'bloc 41'!J57+'bloc 42'!J57+'bloc 43'!J57+'bloc 44'!J57+'bloc 45'!J57+'bloc 46'!J57+'bloc 47'!J58</f>
        <v>0</v>
      </c>
      <c r="K55" s="72">
        <f t="shared" si="4"/>
        <v>0</v>
      </c>
      <c r="L55" s="54"/>
    </row>
    <row r="56" spans="2:12" ht="15.75" x14ac:dyDescent="0.2">
      <c r="B56" s="64">
        <v>4.5</v>
      </c>
      <c r="C56" s="16" t="s">
        <v>69</v>
      </c>
      <c r="D56" s="72">
        <f>'bloc 36'!C58+'bloc 37'!D61+'bloc 38'!F60+'bloc 39'!E60+bloc40!D58+'bloc 41'!D58+'bloc 42'!D58+'bloc 43'!D58+'bloc 44'!D58+'bloc 45'!D58+'bloc 46'!D58+'bloc 47'!D59</f>
        <v>0</v>
      </c>
      <c r="E56" s="72">
        <f>'bloc 36'!D58+'bloc 37'!E61+'bloc 38'!G60+'bloc 39'!F60+bloc40!E58+'bloc 41'!E58+'bloc 42'!E58+'bloc 43'!E58+'bloc 44'!E58+'bloc 45'!E58+'bloc 46'!E58+'bloc 47'!E59</f>
        <v>0</v>
      </c>
      <c r="F56" s="72">
        <f>'bloc 36'!E58+'bloc 37'!F61+'bloc 38'!H60+'bloc 39'!G60+bloc40!F58+'bloc 41'!F58+'bloc 42'!F58+'bloc 43'!F58+'bloc 44'!F58+'bloc 45'!F58+'bloc 46'!F58+'bloc 47'!F59</f>
        <v>0</v>
      </c>
      <c r="G56" s="72">
        <f>'bloc 36'!F58+'bloc 37'!G61+'bloc 38'!I60+'bloc 39'!H60+bloc40!G58+'bloc 41'!G58+'bloc 42'!G58+'bloc 43'!G58+'bloc 44'!G58+'bloc 45'!G58+'bloc 46'!G58+'bloc 47'!G59</f>
        <v>0</v>
      </c>
      <c r="H56" s="72">
        <f>'bloc 36'!G58+'bloc 37'!H61+'bloc 38'!J60+'bloc 39'!I60+bloc40!H58+'bloc 41'!H58+'bloc 42'!H58+'bloc 43'!H58+'bloc 44'!H58+'bloc 45'!H58+'bloc 46'!H58+'bloc 47'!H59</f>
        <v>0</v>
      </c>
      <c r="I56" s="72">
        <f>'bloc 36'!H58+'bloc 37'!I61+'bloc 38'!K60+'bloc 39'!J60+bloc40!I58+'bloc 41'!I58+'bloc 42'!I58+'bloc 43'!I58+'bloc 44'!I58+'bloc 45'!I58+'bloc 46'!I58+'bloc 47'!I59</f>
        <v>0</v>
      </c>
      <c r="J56" s="72">
        <f>'bloc 36'!I58+'bloc 37'!J61+'bloc 38'!L60+'bloc 39'!K60+bloc40!J58+'bloc 41'!J58+'bloc 42'!J58+'bloc 43'!J58+'bloc 44'!J58+'bloc 45'!J58+'bloc 46'!J58+'bloc 47'!J59</f>
        <v>0</v>
      </c>
      <c r="K56" s="72">
        <f t="shared" si="4"/>
        <v>0</v>
      </c>
      <c r="L56" s="54"/>
    </row>
    <row r="57" spans="2:12" ht="15.75" x14ac:dyDescent="0.2">
      <c r="B57" s="64">
        <v>4.5999999999999996</v>
      </c>
      <c r="C57" s="16" t="s">
        <v>70</v>
      </c>
      <c r="D57" s="72">
        <f>'bloc 36'!C59+'bloc 37'!D62+'bloc 38'!F61+'bloc 39'!E61+bloc40!D59+'bloc 41'!D59+'bloc 42'!D59+'bloc 43'!D59+'bloc 44'!D59+'bloc 45'!D59+'bloc 46'!D59+'bloc 47'!D60</f>
        <v>0</v>
      </c>
      <c r="E57" s="72">
        <f>'bloc 36'!D59+'bloc 37'!E62+'bloc 38'!G61+'bloc 39'!F61+bloc40!E59+'bloc 41'!E59+'bloc 42'!E59+'bloc 43'!E59+'bloc 44'!E59+'bloc 45'!E59+'bloc 46'!E59+'bloc 47'!E60</f>
        <v>0</v>
      </c>
      <c r="F57" s="72">
        <f>'bloc 36'!E59+'bloc 37'!F62+'bloc 38'!H61+'bloc 39'!G61+bloc40!F59+'bloc 41'!F59+'bloc 42'!F59+'bloc 43'!F59+'bloc 44'!F59+'bloc 45'!F59+'bloc 46'!F59+'bloc 47'!F60</f>
        <v>0</v>
      </c>
      <c r="G57" s="72">
        <f>'bloc 36'!F59+'bloc 37'!G62+'bloc 38'!I61+'bloc 39'!H61+bloc40!G59+'bloc 41'!G59+'bloc 42'!G59+'bloc 43'!G59+'bloc 44'!G59+'bloc 45'!G59+'bloc 46'!G59+'bloc 47'!G60</f>
        <v>0</v>
      </c>
      <c r="H57" s="72">
        <f>'bloc 36'!G59+'bloc 37'!H62+'bloc 38'!J61+'bloc 39'!I61+bloc40!H59+'bloc 41'!H59+'bloc 42'!H59+'bloc 43'!H59+'bloc 44'!H59+'bloc 45'!H59+'bloc 46'!H59+'bloc 47'!H60</f>
        <v>0</v>
      </c>
      <c r="I57" s="72">
        <f>'bloc 36'!H59+'bloc 37'!I62+'bloc 38'!K61+'bloc 39'!J61+bloc40!I59+'bloc 41'!I59+'bloc 42'!I59+'bloc 43'!I59+'bloc 44'!I59+'bloc 45'!I59+'bloc 46'!I59+'bloc 47'!I60</f>
        <v>0</v>
      </c>
      <c r="J57" s="72">
        <f>'bloc 36'!I59+'bloc 37'!J62+'bloc 38'!L61+'bloc 39'!K61+bloc40!J59+'bloc 41'!J59+'bloc 42'!J59+'bloc 43'!J59+'bloc 44'!J59+'bloc 45'!J59+'bloc 46'!J59+'bloc 47'!J60</f>
        <v>0</v>
      </c>
      <c r="K57" s="72">
        <f t="shared" si="4"/>
        <v>0</v>
      </c>
      <c r="L57" s="54"/>
    </row>
    <row r="58" spans="2:12" s="126" customFormat="1" ht="15.75" x14ac:dyDescent="0.2">
      <c r="B58" s="167" t="s">
        <v>71</v>
      </c>
      <c r="C58" s="168"/>
      <c r="D58" s="87">
        <f>'bloc 36'!C60+'bloc 37'!D63+'bloc 38'!F62+'bloc 39'!E62+bloc40!D60+'bloc 41'!D60+'bloc 42'!D60+'bloc 43'!D60+'bloc 44'!D60+'bloc 45'!D60+'bloc 46'!D60+'bloc 47'!D61</f>
        <v>28963851.77</v>
      </c>
      <c r="E58" s="87">
        <f>'bloc 36'!D60+'bloc 37'!E63+'bloc 38'!G62+'bloc 39'!F62+bloc40!E60+'bloc 41'!E60+'bloc 42'!E60+'bloc 43'!E60+'bloc 44'!E60+'bloc 45'!E60+'bloc 46'!E60+'bloc 47'!E61</f>
        <v>0</v>
      </c>
      <c r="F58" s="87">
        <f>'bloc 36'!E60+'bloc 37'!F63+'bloc 38'!H62+'bloc 39'!G62+bloc40!F60+'bloc 41'!F60+'bloc 42'!F60+'bloc 43'!F60+'bloc 44'!F60+'bloc 45'!F60+'bloc 46'!F60+'bloc 47'!F61</f>
        <v>0</v>
      </c>
      <c r="G58" s="87">
        <f>'bloc 36'!F60+'bloc 37'!G63+'bloc 38'!I62+'bloc 39'!H62+bloc40!G60+'bloc 41'!G60+'bloc 42'!G60+'bloc 43'!G60+'bloc 44'!G60+'bloc 45'!G60+'bloc 46'!G60+'bloc 47'!G61</f>
        <v>0</v>
      </c>
      <c r="H58" s="87">
        <f>'bloc 36'!G60+'bloc 37'!H63+'bloc 38'!J62+'bloc 39'!I62+bloc40!H60+'bloc 41'!H60+'bloc 42'!H60+'bloc 43'!H60+'bloc 44'!H60+'bloc 45'!H60+'bloc 46'!H60+'bloc 47'!H61</f>
        <v>32686208.760000002</v>
      </c>
      <c r="I58" s="87">
        <f>'bloc 36'!H60+'bloc 37'!I63+'bloc 38'!K62+'bloc 39'!J62+bloc40!I60+'bloc 41'!I60+'bloc 42'!I60+'bloc 43'!I60+'bloc 44'!I60+'bloc 45'!I60+'bloc 46'!I60+'bloc 47'!I61</f>
        <v>0</v>
      </c>
      <c r="J58" s="87">
        <f>'bloc 36'!I60+'bloc 37'!J63+'bloc 38'!L62+'bloc 39'!K62+bloc40!J60+'bloc 41'!J60+'bloc 42'!J60+'bloc 43'!J60+'bloc 44'!J60+'bloc 45'!J60+'bloc 46'!J60+'bloc 47'!J61</f>
        <v>6082408.8717</v>
      </c>
      <c r="K58" s="87">
        <f t="shared" si="4"/>
        <v>35046260.6417</v>
      </c>
      <c r="L58" s="79"/>
    </row>
    <row r="59" spans="2:12" ht="15.75" x14ac:dyDescent="0.2">
      <c r="B59" s="164" t="s">
        <v>104</v>
      </c>
      <c r="C59" s="165"/>
      <c r="D59" s="165"/>
      <c r="E59" s="165"/>
      <c r="F59" s="165"/>
      <c r="G59" s="165"/>
      <c r="H59" s="165"/>
      <c r="I59" s="165"/>
      <c r="J59" s="165"/>
      <c r="K59" s="165"/>
      <c r="L59" s="166"/>
    </row>
    <row r="60" spans="2:12" ht="15.75" x14ac:dyDescent="0.2">
      <c r="B60" s="64">
        <v>5.0999999999999996</v>
      </c>
      <c r="C60" s="16" t="s">
        <v>72</v>
      </c>
      <c r="D60" s="72">
        <f>'bloc 36'!C62+'bloc 37'!D65+'bloc 38'!F64+'bloc 39'!E64+bloc40!D62+'bloc 41'!D62+'bloc 42'!D62+'bloc 43'!D62+'bloc 44'!D62+'bloc 45'!D62+'bloc 46'!D62+'bloc 47'!D63</f>
        <v>0</v>
      </c>
      <c r="E60" s="72">
        <f>'bloc 36'!D62+'bloc 37'!E65+'bloc 38'!G64+'bloc 39'!F64+bloc40!E62+'bloc 41'!E62+'bloc 42'!E62+'bloc 43'!E62+'bloc 44'!E62+'bloc 45'!E62+'bloc 46'!E62+'bloc 47'!E63</f>
        <v>0</v>
      </c>
      <c r="F60" s="72">
        <f>'bloc 36'!E62+'bloc 37'!F65+'bloc 38'!H64+'bloc 39'!G64+bloc40!F62+'bloc 41'!F62+'bloc 42'!F62+'bloc 43'!F62+'bloc 44'!F62+'bloc 45'!F62+'bloc 46'!F62+'bloc 47'!F63</f>
        <v>0</v>
      </c>
      <c r="G60" s="72">
        <f>'bloc 36'!F62+'bloc 37'!G65+'bloc 38'!I64+'bloc 39'!H64+bloc40!G62+'bloc 41'!G62+'bloc 42'!G62+'bloc 43'!G62+'bloc 44'!G62+'bloc 45'!G62+'bloc 46'!G62+'bloc 47'!G63</f>
        <v>0</v>
      </c>
      <c r="H60" s="72">
        <f>'bloc 36'!G62+'bloc 37'!H65+'bloc 38'!J64+'bloc 39'!I64+bloc40!H62+'bloc 41'!H62+'bloc 42'!H62+'bloc 43'!H62+'bloc 44'!H62+'bloc 45'!H62+'bloc 46'!H62+'bloc 47'!H63</f>
        <v>720000</v>
      </c>
      <c r="I60" s="72">
        <f>'bloc 36'!H62+'bloc 37'!I65+'bloc 38'!K64+'bloc 39'!J64+bloc40!I62+'bloc 41'!I62+'bloc 42'!I62+'bloc 43'!I62+'bloc 44'!I62+'bloc 45'!I62+'bloc 46'!I62+'bloc 47'!I63</f>
        <v>0</v>
      </c>
      <c r="J60" s="72">
        <f>'bloc 36'!I62+'bloc 37'!J65+'bloc 38'!L64+'bloc 39'!K64+bloc40!J62+'bloc 41'!J62+'bloc 42'!J62+'bloc 43'!J62+'bloc 44'!J62+'bloc 45'!J62+'bloc 46'!J62+'bloc 47'!J63</f>
        <v>0</v>
      </c>
      <c r="K60" s="72">
        <f>'bloc 36'!J62+'bloc 37'!K65+'bloc 38'!M64+'bloc 39'!L64+bloc40!K62+'bloc 41'!K62+'bloc 42'!K62+'bloc 43'!K62+'bloc 44'!K62+'bloc 45'!K62+'bloc 46'!K62+'bloc 47'!K63</f>
        <v>0</v>
      </c>
      <c r="L60" s="76"/>
    </row>
    <row r="61" spans="2:12" ht="31.5" x14ac:dyDescent="0.2">
      <c r="B61" s="19" t="s">
        <v>73</v>
      </c>
      <c r="C61" s="16" t="s">
        <v>74</v>
      </c>
      <c r="D61" s="72">
        <f>'bloc 36'!C63+'bloc 37'!D66+'bloc 38'!F65+'bloc 39'!E65+bloc40!D63+'bloc 41'!D63+'bloc 42'!D63+'bloc 43'!D63+'bloc 44'!D63+'bloc 45'!D63+'bloc 46'!D63+'bloc 47'!D64</f>
        <v>0</v>
      </c>
      <c r="E61" s="72">
        <f>'bloc 36'!D63+'bloc 37'!E66+'bloc 38'!G65+'bloc 39'!F65+bloc40!E63+'bloc 41'!E63+'bloc 42'!E63+'bloc 43'!E63+'bloc 44'!E63+'bloc 45'!E63+'bloc 46'!E63+'bloc 47'!E64</f>
        <v>0</v>
      </c>
      <c r="F61" s="72">
        <f>'bloc 36'!E63+'bloc 37'!F66+'bloc 38'!H65+'bloc 39'!G65+bloc40!F63+'bloc 41'!F63+'bloc 42'!F63+'bloc 43'!F63+'bloc 44'!F63+'bloc 45'!F63+'bloc 46'!F63+'bloc 47'!F64</f>
        <v>0</v>
      </c>
      <c r="G61" s="72">
        <f>'bloc 36'!F63+'bloc 37'!G66+'bloc 38'!I65+'bloc 39'!H65+bloc40!G63+'bloc 41'!G63+'bloc 42'!G63+'bloc 43'!G63+'bloc 44'!G63+'bloc 45'!G63+'bloc 46'!G63+'bloc 47'!G64</f>
        <v>0</v>
      </c>
      <c r="H61" s="72">
        <f>'bloc 36'!G63+'bloc 37'!H66+'bloc 38'!J65+'bloc 39'!I65+bloc40!H63+'bloc 41'!H63+'bloc 42'!H63+'bloc 43'!H63+'bloc 44'!H63+'bloc 45'!H63+'bloc 46'!H63+'bloc 47'!H64</f>
        <v>600000</v>
      </c>
      <c r="I61" s="72">
        <f>'bloc 36'!H63+'bloc 37'!I66+'bloc 38'!K65+'bloc 39'!J65+bloc40!I63+'bloc 41'!I63+'bloc 42'!I63+'bloc 43'!I63+'bloc 44'!I63+'bloc 45'!I63+'bloc 46'!I63+'bloc 47'!I64</f>
        <v>0</v>
      </c>
      <c r="J61" s="72">
        <f>'bloc 36'!I63+'bloc 37'!J66+'bloc 38'!L65+'bloc 39'!K65+bloc40!J63+'bloc 41'!J63+'bloc 42'!J63+'bloc 43'!J63+'bloc 44'!J63+'bloc 45'!J63+'bloc 46'!J63+'bloc 47'!J64</f>
        <v>0</v>
      </c>
      <c r="K61" s="72">
        <f>'bloc 36'!J63+'bloc 37'!K66+'bloc 38'!M65+'bloc 39'!L65+bloc40!K63+'bloc 41'!K63+'bloc 42'!K63+'bloc 43'!K63+'bloc 44'!K63+'bloc 45'!K63+'bloc 46'!K63+'bloc 47'!K64</f>
        <v>0</v>
      </c>
      <c r="L61" s="76"/>
    </row>
    <row r="62" spans="2:12" ht="15.75" x14ac:dyDescent="0.2">
      <c r="B62" s="25" t="s">
        <v>75</v>
      </c>
      <c r="C62" s="21" t="s">
        <v>76</v>
      </c>
      <c r="D62" s="72">
        <f>'bloc 36'!C64+'bloc 37'!D67+'bloc 38'!F66+'bloc 39'!E66+bloc40!D64+'bloc 41'!D64+'bloc 42'!D64+'bloc 43'!D64+'bloc 44'!D64+'bloc 45'!D64+'bloc 46'!D64+'bloc 47'!D65</f>
        <v>0</v>
      </c>
      <c r="E62" s="72">
        <f>'bloc 36'!D64+'bloc 37'!E67+'bloc 38'!G66+'bloc 39'!F66+bloc40!E64+'bloc 41'!E64+'bloc 42'!E64+'bloc 43'!E64+'bloc 44'!E64+'bloc 45'!E64+'bloc 46'!E64+'bloc 47'!E65</f>
        <v>0</v>
      </c>
      <c r="F62" s="72">
        <f>'bloc 36'!E64+'bloc 37'!F67+'bloc 38'!H66+'bloc 39'!G66+bloc40!F64+'bloc 41'!F64+'bloc 42'!F64+'bloc 43'!F64+'bloc 44'!F64+'bloc 45'!F64+'bloc 46'!F64+'bloc 47'!F65</f>
        <v>0</v>
      </c>
      <c r="G62" s="72">
        <f>'bloc 36'!F64+'bloc 37'!G67+'bloc 38'!I66+'bloc 39'!H66+bloc40!G64+'bloc 41'!G64+'bloc 42'!G64+'bloc 43'!G64+'bloc 44'!G64+'bloc 45'!G64+'bloc 46'!G64+'bloc 47'!G65</f>
        <v>0</v>
      </c>
      <c r="H62" s="72">
        <f>'bloc 36'!G64+'bloc 37'!H67+'bloc 38'!J66+'bloc 39'!I66+bloc40!H64+'bloc 41'!H64+'bloc 42'!H64+'bloc 43'!H64+'bloc 44'!H64+'bloc 45'!H64+'bloc 46'!H64+'bloc 47'!H65</f>
        <v>120000</v>
      </c>
      <c r="I62" s="72">
        <f>'bloc 36'!H64+'bloc 37'!I67+'bloc 38'!K66+'bloc 39'!J66+bloc40!I64+'bloc 41'!I64+'bloc 42'!I64+'bloc 43'!I64+'bloc 44'!I64+'bloc 45'!I64+'bloc 46'!I64+'bloc 47'!I65</f>
        <v>0</v>
      </c>
      <c r="J62" s="72">
        <f>'bloc 36'!I64+'bloc 37'!J67+'bloc 38'!L66+'bloc 39'!K66+bloc40!J64+'bloc 41'!J64+'bloc 42'!J64+'bloc 43'!J64+'bloc 44'!J64+'bloc 45'!J64+'bloc 46'!J64+'bloc 47'!J65</f>
        <v>0</v>
      </c>
      <c r="K62" s="72">
        <f>'bloc 36'!J64+'bloc 37'!K67+'bloc 38'!M66+'bloc 39'!L66+bloc40!K64+'bloc 41'!K64+'bloc 42'!K64+'bloc 43'!K64+'bloc 44'!K64+'bloc 45'!K64+'bloc 46'!K64+'bloc 47'!K65</f>
        <v>0</v>
      </c>
      <c r="L62" s="78"/>
    </row>
    <row r="63" spans="2:12" ht="15.75" x14ac:dyDescent="0.2">
      <c r="B63" s="64">
        <v>5.2</v>
      </c>
      <c r="C63" s="16" t="s">
        <v>77</v>
      </c>
      <c r="D63" s="72">
        <f>'bloc 36'!C65+'bloc 37'!D68+'bloc 38'!F67+'bloc 39'!E67+bloc40!D65+'bloc 41'!D65+'bloc 42'!D65+'bloc 43'!D65+'bloc 44'!D65+'bloc 45'!D65+'bloc 46'!D65+'bloc 47'!D66</f>
        <v>316314.36947000003</v>
      </c>
      <c r="E63" s="72">
        <f>'bloc 36'!D65+'bloc 37'!E68+'bloc 38'!G67+'bloc 39'!F67+bloc40!E65+'bloc 41'!E65+'bloc 42'!E65+'bloc 43'!E65+'bloc 44'!E65+'bloc 45'!E65+'bloc 46'!E65+'bloc 47'!E66</f>
        <v>0</v>
      </c>
      <c r="F63" s="72">
        <f>'bloc 36'!E65+'bloc 37'!F68+'bloc 38'!H67+'bloc 39'!G67+bloc40!F65+'bloc 41'!F65+'bloc 42'!F65+'bloc 43'!F65+'bloc 44'!F65+'bloc 45'!F65+'bloc 46'!F65+'bloc 47'!F66</f>
        <v>0</v>
      </c>
      <c r="G63" s="72">
        <f>'bloc 36'!F65+'bloc 37'!G68+'bloc 38'!I67+'bloc 39'!H67+bloc40!G65+'bloc 41'!G65+'bloc 42'!G65+'bloc 43'!G65+'bloc 44'!G65+'bloc 45'!G65+'bloc 46'!G65+'bloc 47'!G66</f>
        <v>0</v>
      </c>
      <c r="H63" s="72">
        <f>'bloc 36'!G65+'bloc 37'!H68+'bloc 38'!J67+'bloc 39'!I67+bloc40!H65+'bloc 41'!H65+'bloc 42'!H65+'bloc 43'!H65+'bloc 44'!H65+'bloc 45'!H65+'bloc 46'!H65+'bloc 47'!H66</f>
        <v>323724.72000000003</v>
      </c>
      <c r="I63" s="72">
        <f>'bloc 36'!H65+'bloc 37'!I68+'bloc 38'!K67+'bloc 39'!J67+bloc40!I65+'bloc 41'!I65+'bloc 42'!I65+'bloc 43'!I65+'bloc 44'!I65+'bloc 45'!I65+'bloc 46'!I65+'bloc 47'!I66</f>
        <v>0</v>
      </c>
      <c r="J63" s="72">
        <f>'bloc 36'!I65+'bloc 37'!J68+'bloc 38'!L67+'bloc 39'!K67+bloc40!J65+'bloc 41'!J65+'bloc 42'!J65+'bloc 43'!J65+'bloc 44'!J65+'bloc 45'!J65+'bloc 46'!J65+'bloc 47'!J66</f>
        <v>0</v>
      </c>
      <c r="K63" s="72">
        <f>'bloc 36'!J65+'bloc 37'!K68+'bloc 38'!M67+'bloc 39'!L67+bloc40!K65+'bloc 41'!K65+'bloc 42'!K65+'bloc 43'!K65+'bloc 44'!K65+'bloc 45'!K65+'bloc 46'!K65+'bloc 47'!K66</f>
        <v>316314.36947000003</v>
      </c>
      <c r="L63" s="76"/>
    </row>
    <row r="64" spans="2:12" ht="31.5" x14ac:dyDescent="0.2">
      <c r="B64" s="19" t="s">
        <v>78</v>
      </c>
      <c r="C64" s="16" t="s">
        <v>79</v>
      </c>
      <c r="D64" s="72">
        <f>'bloc 36'!C66+'bloc 37'!D69+'bloc 38'!F68+'bloc 39'!E68+bloc40!D66+'bloc 41'!D66+'bloc 42'!D66+'bloc 43'!D66+'bloc 44'!D66+'bloc 45'!D66+'bloc 46'!D66+'bloc 47'!D67</f>
        <v>0</v>
      </c>
      <c r="E64" s="72">
        <f>'bloc 36'!D66+'bloc 37'!E69+'bloc 38'!G68+'bloc 39'!F68+bloc40!E66+'bloc 41'!E66+'bloc 42'!E66+'bloc 43'!E66+'bloc 44'!E66+'bloc 45'!E66+'bloc 46'!E66+'bloc 47'!E67</f>
        <v>0</v>
      </c>
      <c r="F64" s="72">
        <f>'bloc 36'!E66+'bloc 37'!F69+'bloc 38'!H68+'bloc 39'!G68+bloc40!F66+'bloc 41'!F66+'bloc 42'!F66+'bloc 43'!F66+'bloc 44'!F66+'bloc 45'!F66+'bloc 46'!F66+'bloc 47'!F67</f>
        <v>0</v>
      </c>
      <c r="G64" s="72">
        <f>'bloc 36'!F66+'bloc 37'!G69+'bloc 38'!I68+'bloc 39'!H68+bloc40!G66+'bloc 41'!G66+'bloc 42'!G66+'bloc 43'!G66+'bloc 44'!G66+'bloc 45'!G66+'bloc 46'!G66+'bloc 47'!G67</f>
        <v>0</v>
      </c>
      <c r="H64" s="72">
        <f>'bloc 36'!G66+'bloc 37'!H69+'bloc 38'!J68+'bloc 39'!I68+bloc40!H66+'bloc 41'!H66+'bloc 42'!H66+'bloc 43'!H66+'bloc 44'!H66+'bloc 45'!H66+'bloc 46'!H66+'bloc 47'!H67</f>
        <v>0</v>
      </c>
      <c r="I64" s="72">
        <f>'bloc 36'!H66+'bloc 37'!I69+'bloc 38'!K68+'bloc 39'!J68+bloc40!I66+'bloc 41'!I66+'bloc 42'!I66+'bloc 43'!I66+'bloc 44'!I66+'bloc 45'!I66+'bloc 46'!I66+'bloc 47'!I67</f>
        <v>0</v>
      </c>
      <c r="J64" s="72">
        <f>'bloc 36'!I66+'bloc 37'!J69+'bloc 38'!L68+'bloc 39'!K68+bloc40!J66+'bloc 41'!J66+'bloc 42'!J66+'bloc 43'!J66+'bloc 44'!J66+'bloc 45'!J66+'bloc 46'!J66+'bloc 47'!J67</f>
        <v>0</v>
      </c>
      <c r="K64" s="72">
        <f>'bloc 36'!J66+'bloc 37'!K69+'bloc 38'!M68+'bloc 39'!L68+bloc40!K66+'bloc 41'!K66+'bloc 42'!K66+'bloc 43'!K66+'bloc 44'!K66+'bloc 45'!K66+'bloc 46'!K66+'bloc 47'!K67</f>
        <v>0</v>
      </c>
      <c r="L64" s="54"/>
    </row>
    <row r="65" spans="2:12" ht="31.5" x14ac:dyDescent="0.2">
      <c r="B65" s="19" t="s">
        <v>80</v>
      </c>
      <c r="C65" s="16" t="s">
        <v>81</v>
      </c>
      <c r="D65" s="72">
        <f>'bloc 36'!C67+'bloc 37'!D70+'bloc 38'!F69+'bloc 39'!E69+bloc40!D67+'bloc 41'!D67+'bloc 42'!D67+'bloc 43'!D67+'bloc 44'!D67+'bloc 45'!D67+'bloc 46'!D67+'bloc 47'!D68</f>
        <v>143779.25885000001</v>
      </c>
      <c r="E65" s="72">
        <f>'bloc 36'!D67+'bloc 37'!E70+'bloc 38'!G69+'bloc 39'!F69+bloc40!E67+'bloc 41'!E67+'bloc 42'!E67+'bloc 43'!E67+'bloc 44'!E67+'bloc 45'!E67+'bloc 46'!E67+'bloc 47'!E68</f>
        <v>0</v>
      </c>
      <c r="F65" s="72">
        <f>'bloc 36'!E67+'bloc 37'!F70+'bloc 38'!H69+'bloc 39'!G69+bloc40!F67+'bloc 41'!F67+'bloc 42'!F67+'bloc 43'!F67+'bloc 44'!F67+'bloc 45'!F67+'bloc 46'!F67+'bloc 47'!F68</f>
        <v>0</v>
      </c>
      <c r="G65" s="72">
        <f>'bloc 36'!F67+'bloc 37'!G70+'bloc 38'!I69+'bloc 39'!H69+bloc40!G67+'bloc 41'!G67+'bloc 42'!G67+'bloc 43'!G67+'bloc 44'!G67+'bloc 45'!G67+'bloc 46'!G67+'bloc 47'!G68</f>
        <v>0</v>
      </c>
      <c r="H65" s="72">
        <f>'bloc 36'!G67+'bloc 37'!H70+'bloc 38'!J69+'bloc 39'!I69+bloc40!H67+'bloc 41'!H67+'bloc 42'!H67+'bloc 43'!H67+'bloc 44'!H67+'bloc 45'!H67+'bloc 46'!H67+'bloc 47'!H68</f>
        <v>147147.6</v>
      </c>
      <c r="I65" s="72">
        <f>'bloc 36'!H67+'bloc 37'!I70+'bloc 38'!K69+'bloc 39'!J69+bloc40!I67+'bloc 41'!I67+'bloc 42'!I67+'bloc 43'!I67+'bloc 44'!I67+'bloc 45'!I67+'bloc 46'!I67+'bloc 47'!I68</f>
        <v>0</v>
      </c>
      <c r="J65" s="72">
        <f>'bloc 36'!I67+'bloc 37'!J70+'bloc 38'!L69+'bloc 39'!K69+bloc40!J67+'bloc 41'!J67+'bloc 42'!J67+'bloc 43'!J67+'bloc 44'!J67+'bloc 45'!J67+'bloc 46'!J67+'bloc 47'!J68</f>
        <v>0</v>
      </c>
      <c r="K65" s="72">
        <f>'bloc 36'!J67+'bloc 37'!K70+'bloc 38'!M69+'bloc 39'!L69+bloc40!K67+'bloc 41'!K67+'bloc 42'!K67+'bloc 43'!K67+'bloc 44'!K67+'bloc 45'!K67+'bloc 46'!K67+'bloc 47'!K68</f>
        <v>143779.25885000001</v>
      </c>
      <c r="L65" s="76"/>
    </row>
    <row r="66" spans="2:12" ht="47.25" x14ac:dyDescent="0.2">
      <c r="B66" s="19" t="s">
        <v>82</v>
      </c>
      <c r="C66" s="16" t="s">
        <v>83</v>
      </c>
      <c r="D66" s="72">
        <f>'bloc 36'!C68+'bloc 37'!D71+'bloc 38'!F70+'bloc 39'!E70+bloc40!D68+'bloc 41'!D68+'bloc 42'!D68+'bloc 43'!D68+'bloc 44'!D68+'bloc 45'!D68+'bloc 46'!D68+'bloc 47'!D69</f>
        <v>28755.851769999997</v>
      </c>
      <c r="E66" s="72">
        <f>'bloc 36'!D68+'bloc 37'!E71+'bloc 38'!G70+'bloc 39'!F70+bloc40!E68+'bloc 41'!E68+'bloc 42'!E68+'bloc 43'!E68+'bloc 44'!E68+'bloc 45'!E68+'bloc 46'!E68+'bloc 47'!E69</f>
        <v>0</v>
      </c>
      <c r="F66" s="72">
        <f>'bloc 36'!E68+'bloc 37'!F71+'bloc 38'!H70+'bloc 39'!G70+bloc40!F68+'bloc 41'!F68+'bloc 42'!F68+'bloc 43'!F68+'bloc 44'!F68+'bloc 45'!F68+'bloc 46'!F68+'bloc 47'!F69</f>
        <v>0</v>
      </c>
      <c r="G66" s="72">
        <f>'bloc 36'!F68+'bloc 37'!G71+'bloc 38'!I70+'bloc 39'!H70+bloc40!G68+'bloc 41'!G68+'bloc 42'!G68+'bloc 43'!G68+'bloc 44'!G68+'bloc 45'!G68+'bloc 46'!G68+'bloc 47'!G69</f>
        <v>0</v>
      </c>
      <c r="H66" s="72">
        <f>'bloc 36'!G68+'bloc 37'!H71+'bloc 38'!J70+'bloc 39'!I70+bloc40!H68+'bloc 41'!H68+'bloc 42'!H68+'bloc 43'!H68+'bloc 44'!H68+'bloc 45'!H68+'bloc 46'!H68+'bloc 47'!H69</f>
        <v>29429.519999999993</v>
      </c>
      <c r="I66" s="72">
        <f>'bloc 36'!H68+'bloc 37'!I71+'bloc 38'!K70+'bloc 39'!J70+bloc40!I68+'bloc 41'!I68+'bloc 42'!I68+'bloc 43'!I68+'bloc 44'!I68+'bloc 45'!I68+'bloc 46'!I68+'bloc 47'!I69</f>
        <v>0</v>
      </c>
      <c r="J66" s="72">
        <f>'bloc 36'!I68+'bloc 37'!J71+'bloc 38'!L70+'bloc 39'!K70+bloc40!J68+'bloc 41'!J68+'bloc 42'!J68+'bloc 43'!J68+'bloc 44'!J68+'bloc 45'!J68+'bloc 46'!J68+'bloc 47'!J69</f>
        <v>0</v>
      </c>
      <c r="K66" s="72">
        <f>'bloc 36'!J68+'bloc 37'!K71+'bloc 38'!M70+'bloc 39'!L70+bloc40!K68+'bloc 41'!K68+'bloc 42'!K68+'bloc 43'!K68+'bloc 44'!K68+'bloc 45'!K68+'bloc 46'!K68+'bloc 47'!K69</f>
        <v>28755.851769999997</v>
      </c>
      <c r="L66" s="54"/>
    </row>
    <row r="67" spans="2:12" ht="31.5" x14ac:dyDescent="0.2">
      <c r="B67" s="19" t="s">
        <v>84</v>
      </c>
      <c r="C67" s="16" t="s">
        <v>85</v>
      </c>
      <c r="D67" s="72">
        <f>'bloc 36'!C69+'bloc 37'!D72+'bloc 38'!F71+'bloc 39'!E71+bloc40!D69+'bloc 41'!D69+'bloc 42'!D69+'bloc 43'!D69+'bloc 44'!D69+'bloc 45'!D69+'bloc 46'!D69+'bloc 47'!D70</f>
        <v>143779.25885000001</v>
      </c>
      <c r="E67" s="72">
        <f>'bloc 36'!D69+'bloc 37'!E72+'bloc 38'!G71+'bloc 39'!F71+bloc40!E69+'bloc 41'!E69+'bloc 42'!E69+'bloc 43'!E69+'bloc 44'!E69+'bloc 45'!E69+'bloc 46'!E69+'bloc 47'!E70</f>
        <v>0</v>
      </c>
      <c r="F67" s="72">
        <f>'bloc 36'!E69+'bloc 37'!F72+'bloc 38'!H71+'bloc 39'!G71+bloc40!F69+'bloc 41'!F69+'bloc 42'!F69+'bloc 43'!F69+'bloc 44'!F69+'bloc 45'!F69+'bloc 46'!F69+'bloc 47'!F70</f>
        <v>0</v>
      </c>
      <c r="G67" s="72">
        <f>'bloc 36'!F69+'bloc 37'!G72+'bloc 38'!I71+'bloc 39'!H71+bloc40!G69+'bloc 41'!G69+'bloc 42'!G69+'bloc 43'!G69+'bloc 44'!G69+'bloc 45'!G69+'bloc 46'!G69+'bloc 47'!G70</f>
        <v>0</v>
      </c>
      <c r="H67" s="72">
        <f>'bloc 36'!G69+'bloc 37'!H72+'bloc 38'!J71+'bloc 39'!I71+bloc40!H69+'bloc 41'!H69+'bloc 42'!H69+'bloc 43'!H69+'bloc 44'!H69+'bloc 45'!H69+'bloc 46'!H69+'bloc 47'!H70</f>
        <v>147147.6</v>
      </c>
      <c r="I67" s="72">
        <f>'bloc 36'!H69+'bloc 37'!I72+'bloc 38'!K71+'bloc 39'!J71+bloc40!I69+'bloc 41'!I69+'bloc 42'!I69+'bloc 43'!I69+'bloc 44'!I69+'bloc 45'!I69+'bloc 46'!I69+'bloc 47'!I70</f>
        <v>0</v>
      </c>
      <c r="J67" s="72">
        <f>'bloc 36'!I69+'bloc 37'!J72+'bloc 38'!L71+'bloc 39'!K71+bloc40!J69+'bloc 41'!J69+'bloc 42'!J69+'bloc 43'!J69+'bloc 44'!J69+'bloc 45'!J69+'bloc 46'!J69+'bloc 47'!J70</f>
        <v>0</v>
      </c>
      <c r="K67" s="72">
        <f>'bloc 36'!J69+'bloc 37'!K72+'bloc 38'!M71+'bloc 39'!L71+bloc40!K69+'bloc 41'!K69+'bloc 42'!K69+'bloc 43'!K69+'bloc 44'!K69+'bloc 45'!K69+'bloc 46'!K69+'bloc 47'!K70</f>
        <v>143779.25885000001</v>
      </c>
      <c r="L67" s="76"/>
    </row>
    <row r="68" spans="2:12" ht="31.5" x14ac:dyDescent="0.2">
      <c r="B68" s="19" t="s">
        <v>86</v>
      </c>
      <c r="C68" s="16" t="s">
        <v>87</v>
      </c>
      <c r="D68" s="72">
        <f>'bloc 36'!C70+'bloc 37'!D73+'bloc 38'!F72+'bloc 39'!E72+bloc40!D70+'bloc 41'!D70+'bloc 42'!D70+'bloc 43'!D70+'bloc 44'!D70+'bloc 45'!D70+'bloc 46'!D70+'bloc 47'!D71</f>
        <v>0</v>
      </c>
      <c r="E68" s="72">
        <f>'bloc 36'!D70+'bloc 37'!E73+'bloc 38'!G72+'bloc 39'!F72+bloc40!E70+'bloc 41'!E70+'bloc 42'!E70+'bloc 43'!E70+'bloc 44'!E70+'bloc 45'!E70+'bloc 46'!E70+'bloc 47'!E71</f>
        <v>0</v>
      </c>
      <c r="F68" s="72">
        <f>'bloc 36'!E70+'bloc 37'!F73+'bloc 38'!H72+'bloc 39'!G72+bloc40!F70+'bloc 41'!F70+'bloc 42'!F70+'bloc 43'!F70+'bloc 44'!F70+'bloc 45'!F70+'bloc 46'!F70+'bloc 47'!F71</f>
        <v>0</v>
      </c>
      <c r="G68" s="72">
        <f>'bloc 36'!F70+'bloc 37'!G73+'bloc 38'!I72+'bloc 39'!H72+bloc40!G70+'bloc 41'!G70+'bloc 42'!G70+'bloc 43'!G70+'bloc 44'!G70+'bloc 45'!G70+'bloc 46'!G70+'bloc 47'!G71</f>
        <v>0</v>
      </c>
      <c r="H68" s="72">
        <f>'bloc 36'!G70+'bloc 37'!H73+'bloc 38'!J72+'bloc 39'!I72+bloc40!H70+'bloc 41'!H70+'bloc 42'!H70+'bloc 43'!H70+'bloc 44'!H70+'bloc 45'!H70+'bloc 46'!H70+'bloc 47'!H71</f>
        <v>0</v>
      </c>
      <c r="I68" s="72">
        <f>'bloc 36'!H70+'bloc 37'!I73+'bloc 38'!K72+'bloc 39'!J72+bloc40!I70+'bloc 41'!I70+'bloc 42'!I70+'bloc 43'!I70+'bloc 44'!I70+'bloc 45'!I70+'bloc 46'!I70+'bloc 47'!I71</f>
        <v>0</v>
      </c>
      <c r="J68" s="72">
        <f>'bloc 36'!I70+'bloc 37'!J73+'bloc 38'!L72+'bloc 39'!K72+bloc40!J70+'bloc 41'!J70+'bloc 42'!J70+'bloc 43'!J70+'bloc 44'!J70+'bloc 45'!J70+'bloc 46'!J70+'bloc 47'!J71</f>
        <v>0</v>
      </c>
      <c r="K68" s="72">
        <f>'bloc 36'!J70+'bloc 37'!K73+'bloc 38'!M72+'bloc 39'!L72+bloc40!K70+'bloc 41'!K70+'bloc 42'!K70+'bloc 43'!K70+'bloc 44'!K70+'bloc 45'!K70+'bloc 46'!K70+'bloc 47'!K71</f>
        <v>0</v>
      </c>
      <c r="L68" s="54"/>
    </row>
    <row r="69" spans="2:12" ht="15.75" x14ac:dyDescent="0.2">
      <c r="B69" s="64">
        <v>5.3</v>
      </c>
      <c r="C69" s="16" t="s">
        <v>88</v>
      </c>
      <c r="D69" s="72">
        <f>'bloc 36'!C71+'bloc 37'!D74+'bloc 38'!F73+'bloc 39'!E73+bloc40!D71+'bloc 41'!D71+'bloc 42'!D71+'bloc 43'!D71+'bloc 44'!D71+'bloc 45'!D71+'bloc 46'!D71+'bloc 47'!D72</f>
        <v>3278791.2000000007</v>
      </c>
      <c r="E69" s="72">
        <f>'bloc 36'!D71+'bloc 37'!E74+'bloc 38'!G73+'bloc 39'!F73+bloc40!E71+'bloc 41'!E71+'bloc 42'!E71+'bloc 43'!E71+'bloc 44'!E71+'bloc 45'!E71+'bloc 46'!E71+'bloc 47'!E72</f>
        <v>0</v>
      </c>
      <c r="F69" s="72">
        <f>'bloc 36'!E71+'bloc 37'!F74+'bloc 38'!H73+'bloc 39'!G73+bloc40!F71+'bloc 41'!F71+'bloc 42'!F71+'bloc 43'!F71+'bloc 44'!F71+'bloc 45'!F71+'bloc 46'!F71+'bloc 47'!F72</f>
        <v>0</v>
      </c>
      <c r="G69" s="72">
        <f>'bloc 36'!F71+'bloc 37'!G74+'bloc 38'!I73+'bloc 39'!H73+bloc40!G71+'bloc 41'!G71+'bloc 42'!G71+'bloc 43'!G71+'bloc 44'!G71+'bloc 45'!G71+'bloc 46'!G71+'bloc 47'!G72</f>
        <v>0</v>
      </c>
      <c r="H69" s="72">
        <f>'bloc 36'!G71+'bloc 37'!H74+'bloc 38'!J73+'bloc 39'!I73+bloc40!H71+'bloc 41'!H71+'bloc 42'!H71+'bloc 43'!H71+'bloc 44'!H71+'bloc 45'!H71+'bloc 46'!H71+'bloc 47'!H72</f>
        <v>2907633.72</v>
      </c>
      <c r="I69" s="72">
        <f>'bloc 36'!H71+'bloc 37'!I74+'bloc 38'!K73+'bloc 39'!J73+bloc40!I71+'bloc 41'!I71+'bloc 42'!I71+'bloc 43'!I71+'bloc 44'!I71+'bloc 45'!I71+'bloc 46'!I71+'bloc 47'!I72</f>
        <v>0</v>
      </c>
      <c r="J69" s="72">
        <f>'bloc 36'!I71+'bloc 37'!J74+'bloc 38'!L73+'bloc 39'!K73+bloc40!J71+'bloc 41'!J71+'bloc 42'!J71+'bloc 43'!J71+'bloc 44'!J71+'bloc 45'!J71+'bloc 46'!J71+'bloc 47'!J72</f>
        <v>689176.152</v>
      </c>
      <c r="K69" s="72">
        <f>J69+D69</f>
        <v>3967967.3520000009</v>
      </c>
      <c r="L69" s="76"/>
    </row>
    <row r="70" spans="2:12" ht="15.75" x14ac:dyDescent="0.2">
      <c r="B70" s="64">
        <v>5.4</v>
      </c>
      <c r="C70" s="16" t="s">
        <v>89</v>
      </c>
      <c r="D70" s="72">
        <f>'bloc 36'!C72+'bloc 37'!D75+'bloc 38'!F74+'bloc 39'!E74+bloc40!D72+'bloc 41'!D72+'bloc 42'!D72+'bloc 43'!D72+'bloc 44'!D72+'bloc 45'!D72+'bloc 46'!D72+'bloc 47'!D73</f>
        <v>24000</v>
      </c>
      <c r="E70" s="72">
        <f>'bloc 36'!D72+'bloc 37'!E75+'bloc 38'!G74+'bloc 39'!F74+bloc40!E72+'bloc 41'!E72+'bloc 42'!E72+'bloc 43'!E72+'bloc 44'!E72+'bloc 45'!E72+'bloc 46'!E72+'bloc 47'!E73</f>
        <v>0</v>
      </c>
      <c r="F70" s="72">
        <f>'bloc 36'!E72+'bloc 37'!F75+'bloc 38'!H74+'bloc 39'!G74+bloc40!F72+'bloc 41'!F72+'bloc 42'!F72+'bloc 43'!F72+'bloc 44'!F72+'bloc 45'!F72+'bloc 46'!F72+'bloc 47'!F73</f>
        <v>0</v>
      </c>
      <c r="G70" s="72">
        <f>'bloc 36'!F72+'bloc 37'!G75+'bloc 38'!I74+'bloc 39'!H74+bloc40!G72+'bloc 41'!G72+'bloc 42'!G72+'bloc 43'!G72+'bloc 44'!G72+'bloc 45'!G72+'bloc 46'!G72+'bloc 47'!G73</f>
        <v>0</v>
      </c>
      <c r="H70" s="72">
        <f>'bloc 36'!G72+'bloc 37'!H75+'bloc 38'!J74+'bloc 39'!I74+bloc40!H72+'bloc 41'!H72+'bloc 42'!H72+'bloc 43'!H72+'bloc 44'!H72+'bloc 45'!H72+'bloc 46'!H72+'bloc 47'!H73</f>
        <v>24000</v>
      </c>
      <c r="I70" s="72">
        <v>0</v>
      </c>
      <c r="J70" s="72">
        <v>0</v>
      </c>
      <c r="K70" s="72">
        <f>'bloc 36'!J72+'bloc 37'!K75+'bloc 38'!M74+'bloc 39'!L74+bloc40!K72+'bloc 41'!K72+'bloc 42'!K72+'bloc 43'!K72+'bloc 44'!K72+'bloc 45'!K72+'bloc 46'!K72+'bloc 47'!K73</f>
        <v>28997.747999999996</v>
      </c>
      <c r="L70" s="54"/>
    </row>
    <row r="71" spans="2:12" ht="31.5" x14ac:dyDescent="0.2">
      <c r="B71" s="130" t="s">
        <v>115</v>
      </c>
      <c r="C71" s="16" t="s">
        <v>117</v>
      </c>
      <c r="D71" s="72">
        <f>'bloc 36'!C73+'bloc 37'!D76+'bloc 38'!F75+'bloc 39'!E75+bloc40!D73+'bloc 41'!D73+'bloc 42'!D73+'bloc 43'!D73+'bloc 44'!D73+'bloc 45'!D73+'bloc 46'!D73+'bloc 47'!D74</f>
        <v>2112.6</v>
      </c>
      <c r="E71" s="72">
        <f>'bloc 36'!D73+'bloc 37'!E76+'bloc 38'!G75+'bloc 39'!F75+bloc40!E73+'bloc 41'!E73+'bloc 42'!E73+'bloc 43'!E73+'bloc 44'!E73+'bloc 45'!E73+'bloc 46'!E73+'bloc 47'!E74</f>
        <v>0</v>
      </c>
      <c r="F71" s="72">
        <f>'bloc 36'!E73+'bloc 37'!F76+'bloc 38'!H75+'bloc 39'!G75+bloc40!F73+'bloc 41'!F73+'bloc 42'!F73+'bloc 43'!F73+'bloc 44'!F73+'bloc 45'!F73+'bloc 46'!F73+'bloc 47'!F74</f>
        <v>0</v>
      </c>
      <c r="G71" s="72">
        <f>'bloc 36'!F73+'bloc 37'!G76+'bloc 38'!I75+'bloc 39'!H75+bloc40!G73+'bloc 41'!G73+'bloc 42'!G73+'bloc 43'!G73+'bloc 44'!G73+'bloc 45'!G73+'bloc 46'!G73+'bloc 47'!G74</f>
        <v>0</v>
      </c>
      <c r="H71" s="72">
        <f>'bloc 36'!G73+'bloc 37'!H76+'bloc 38'!J75+'bloc 39'!I75+bloc40!H73+'bloc 41'!H73+'bloc 42'!H73+'bloc 43'!H73+'bloc 44'!H73+'bloc 45'!H73+'bloc 46'!H73+'bloc 47'!H74</f>
        <v>0</v>
      </c>
      <c r="I71" s="72">
        <f>'bloc 36'!H73+'bloc 37'!I76+'bloc 38'!K75+'bloc 39'!J75+bloc40!I73+'bloc 41'!I73+'bloc 42'!I73+'bloc 43'!I73+'bloc 44'!I73+'bloc 45'!I73+'bloc 46'!I73+'bloc 47'!I74</f>
        <v>401.39400000000001</v>
      </c>
      <c r="J71" s="72">
        <f>'bloc 36'!I73+'bloc 37'!J76+'bloc 38'!L75+'bloc 39'!K75+bloc40!J73+'bloc 41'!J73+'bloc 42'!J73+'bloc 43'!J73+'bloc 44'!J73+'bloc 45'!J73+'bloc 46'!J73+'bloc 47'!J74</f>
        <v>0</v>
      </c>
      <c r="K71" s="72">
        <f>'bloc 36'!J73+'bloc 37'!K76+'bloc 38'!M75+'bloc 39'!L75+bloc40!K73+'bloc 41'!K73+'bloc 42'!K73+'bloc 43'!K73+'bloc 44'!K73+'bloc 45'!K73+'bloc 46'!K73+'bloc 47'!K74</f>
        <v>2513.9939999999992</v>
      </c>
      <c r="L71" s="54"/>
    </row>
    <row r="72" spans="2:12" ht="31.5" x14ac:dyDescent="0.2">
      <c r="B72" s="130" t="s">
        <v>116</v>
      </c>
      <c r="C72" s="16" t="s">
        <v>121</v>
      </c>
      <c r="D72" s="72">
        <f>'bloc 36'!C74+'bloc 37'!D77+'bloc 38'!F76+'bloc 39'!E76+bloc40!D74+'bloc 41'!D74+'bloc 42'!D74+'bloc 43'!D74+'bloc 44'!D74+'bloc 45'!D74+'bloc 46'!D74+'bloc 47'!D75</f>
        <v>21887.400000000005</v>
      </c>
      <c r="E72" s="72">
        <f>'bloc 36'!D74+'bloc 37'!E77+'bloc 38'!G76+'bloc 39'!F76+bloc40!E74+'bloc 41'!E74+'bloc 42'!E74+'bloc 43'!E74+'bloc 44'!E74+'bloc 45'!E74+'bloc 46'!E74+'bloc 47'!E75</f>
        <v>0</v>
      </c>
      <c r="F72" s="72">
        <f>'bloc 36'!E74+'bloc 37'!F77+'bloc 38'!H76+'bloc 39'!G76+bloc40!F74+'bloc 41'!F74+'bloc 42'!F74+'bloc 43'!F74+'bloc 44'!F74+'bloc 45'!F74+'bloc 46'!F74+'bloc 47'!F75</f>
        <v>0</v>
      </c>
      <c r="G72" s="72">
        <f>'bloc 36'!F74+'bloc 37'!G77+'bloc 38'!I76+'bloc 39'!H76+bloc40!G74+'bloc 41'!G74+'bloc 42'!G74+'bloc 43'!G74+'bloc 44'!G74+'bloc 45'!G74+'bloc 46'!G74+'bloc 47'!G75</f>
        <v>0</v>
      </c>
      <c r="H72" s="72">
        <f>'bloc 36'!G74+'bloc 37'!H77+'bloc 38'!J76+'bloc 39'!I76+bloc40!H74+'bloc 41'!H74+'bloc 42'!H74+'bloc 43'!H74+'bloc 44'!H74+'bloc 45'!H74+'bloc 46'!H74+'bloc 47'!H75</f>
        <v>0</v>
      </c>
      <c r="I72" s="72">
        <f>'bloc 36'!H74+'bloc 37'!I77+'bloc 38'!K76+'bloc 39'!J76+bloc40!I74+'bloc 41'!I74+'bloc 42'!I74+'bloc 43'!I74+'bloc 44'!I74+'bloc 45'!I74+'bloc 46'!I74+'bloc 47'!I75</f>
        <v>0</v>
      </c>
      <c r="J72" s="72">
        <f>'bloc 36'!I74+'bloc 37'!J77+'bloc 38'!L76+'bloc 39'!K76+bloc40!J74+'bloc 41'!J74+'bloc 42'!J74+'bloc 43'!J74+'bloc 44'!J74+'bloc 45'!J74+'bloc 46'!J74+'bloc 47'!J75</f>
        <v>4596.3540000000003</v>
      </c>
      <c r="K72" s="72">
        <f>J72+D72</f>
        <v>26483.754000000004</v>
      </c>
      <c r="L72" s="54"/>
    </row>
    <row r="73" spans="2:12" s="126" customFormat="1" ht="15.75" x14ac:dyDescent="0.2">
      <c r="B73" s="167" t="s">
        <v>90</v>
      </c>
      <c r="C73" s="168"/>
      <c r="D73" s="87">
        <f>'bloc 36'!C75+'bloc 37'!D78+'bloc 38'!F77+'bloc 39'!E77+bloc40!D75+'bloc 41'!D75+'bloc 42'!D75+'bloc 43'!D75+'bloc 44'!D75+'bloc 45'!D75+'bloc 46'!D75+'bloc 47'!D76</f>
        <v>3619105.5694700005</v>
      </c>
      <c r="E73" s="87">
        <f>'bloc 36'!D75+'bloc 37'!E78+'bloc 38'!G77+'bloc 39'!F77+bloc40!E75+'bloc 41'!E75+'bloc 42'!E75+'bloc 43'!E75+'bloc 44'!E75+'bloc 45'!E75+'bloc 46'!E75+'bloc 47'!E76</f>
        <v>0</v>
      </c>
      <c r="F73" s="87">
        <f>'bloc 36'!E75+'bloc 37'!F78+'bloc 38'!H77+'bloc 39'!G77+bloc40!F75+'bloc 41'!F75+'bloc 42'!F75+'bloc 43'!F75+'bloc 44'!F75+'bloc 45'!F75+'bloc 46'!F75+'bloc 47'!F76</f>
        <v>0</v>
      </c>
      <c r="G73" s="87">
        <f>'bloc 36'!F75+'bloc 37'!G78+'bloc 38'!I77+'bloc 39'!H77+bloc40!G75+'bloc 41'!G75+'bloc 42'!G75+'bloc 43'!G75+'bloc 44'!G75+'bloc 45'!G75+'bloc 46'!G75+'bloc 47'!G76</f>
        <v>0</v>
      </c>
      <c r="H73" s="87">
        <f>'bloc 36'!G75+'bloc 37'!H78+'bloc 38'!J77+'bloc 39'!I77+bloc40!H75+'bloc 41'!H75+'bloc 42'!H75+'bloc 43'!H75+'bloc 44'!H75+'bloc 45'!H75+'bloc 46'!H75+'bloc 47'!H76</f>
        <v>3975358.4400000009</v>
      </c>
      <c r="I73" s="87">
        <f>I71</f>
        <v>401.39400000000001</v>
      </c>
      <c r="J73" s="87">
        <f>'bloc 36'!I75+'bloc 37'!J78+'bloc 38'!L77+'bloc 39'!K77+bloc40!J75+'bloc 41'!J75+'bloc 42'!J75+'bloc 43'!J75+'bloc 44'!J75+'bloc 45'!J75+'bloc 46'!J75+'bloc 47'!J76</f>
        <v>693772.50600000005</v>
      </c>
      <c r="K73" s="87">
        <f>K63+K69+K70</f>
        <v>4313279.4694700008</v>
      </c>
      <c r="L73" s="79"/>
    </row>
    <row r="74" spans="2:12" ht="15.75" x14ac:dyDescent="0.2">
      <c r="B74" s="164" t="s">
        <v>105</v>
      </c>
      <c r="C74" s="165"/>
      <c r="D74" s="165"/>
      <c r="E74" s="165"/>
      <c r="F74" s="165"/>
      <c r="G74" s="165"/>
      <c r="H74" s="165"/>
      <c r="I74" s="165"/>
      <c r="J74" s="165"/>
      <c r="K74" s="165"/>
      <c r="L74" s="166"/>
    </row>
    <row r="75" spans="2:12" ht="15.75" x14ac:dyDescent="0.2">
      <c r="B75" s="64">
        <v>6.1</v>
      </c>
      <c r="C75" s="16" t="s">
        <v>91</v>
      </c>
      <c r="D75" s="53">
        <v>0</v>
      </c>
      <c r="E75" s="53">
        <v>0</v>
      </c>
      <c r="F75" s="53">
        <v>0</v>
      </c>
      <c r="G75" s="53">
        <v>0</v>
      </c>
      <c r="H75" s="53"/>
      <c r="I75" s="53">
        <v>0</v>
      </c>
      <c r="J75" s="53">
        <v>0</v>
      </c>
      <c r="K75" s="53">
        <v>0</v>
      </c>
      <c r="L75" s="54">
        <v>0</v>
      </c>
    </row>
    <row r="76" spans="2:12" ht="15.75" x14ac:dyDescent="0.2">
      <c r="B76" s="64">
        <v>6.2</v>
      </c>
      <c r="C76" s="16" t="s">
        <v>92</v>
      </c>
      <c r="D76" s="53">
        <v>0</v>
      </c>
      <c r="E76" s="53">
        <v>0</v>
      </c>
      <c r="F76" s="53">
        <v>0</v>
      </c>
      <c r="G76" s="53">
        <v>0</v>
      </c>
      <c r="H76" s="53"/>
      <c r="I76" s="53">
        <v>0</v>
      </c>
      <c r="J76" s="53">
        <v>0</v>
      </c>
      <c r="K76" s="53">
        <v>0</v>
      </c>
      <c r="L76" s="54">
        <v>0</v>
      </c>
    </row>
    <row r="77" spans="2:12" ht="15.75" x14ac:dyDescent="0.2">
      <c r="B77" s="167" t="s">
        <v>93</v>
      </c>
      <c r="C77" s="168"/>
      <c r="D77" s="69">
        <v>0</v>
      </c>
      <c r="E77" s="69">
        <v>0</v>
      </c>
      <c r="F77" s="69">
        <v>0</v>
      </c>
      <c r="G77" s="69">
        <v>0</v>
      </c>
      <c r="H77" s="69"/>
      <c r="I77" s="69">
        <v>0</v>
      </c>
      <c r="J77" s="69">
        <v>0</v>
      </c>
      <c r="K77" s="69">
        <v>0</v>
      </c>
      <c r="L77" s="70">
        <v>0</v>
      </c>
    </row>
    <row r="78" spans="2:12" ht="15.75" x14ac:dyDescent="0.2">
      <c r="B78" s="164" t="s">
        <v>106</v>
      </c>
      <c r="C78" s="165"/>
      <c r="D78" s="165"/>
      <c r="E78" s="165"/>
      <c r="F78" s="165"/>
      <c r="G78" s="165"/>
      <c r="H78" s="165"/>
      <c r="I78" s="165"/>
      <c r="J78" s="165"/>
      <c r="K78" s="165"/>
      <c r="L78" s="166"/>
    </row>
    <row r="79" spans="2:12" ht="15.75" x14ac:dyDescent="0.2">
      <c r="B79" s="64">
        <v>7.1</v>
      </c>
      <c r="C79" s="16" t="s">
        <v>94</v>
      </c>
      <c r="D79" s="53">
        <v>0</v>
      </c>
      <c r="E79" s="53">
        <v>0</v>
      </c>
      <c r="F79" s="72">
        <v>0</v>
      </c>
      <c r="G79" s="72">
        <v>60758.96</v>
      </c>
      <c r="H79" s="72">
        <v>60758.96</v>
      </c>
      <c r="I79" s="53">
        <f>F79*0.21</f>
        <v>0</v>
      </c>
      <c r="J79" s="53"/>
      <c r="K79" s="72">
        <f>D79+F79+I79</f>
        <v>0</v>
      </c>
      <c r="L79" s="76"/>
    </row>
    <row r="80" spans="2:12" ht="31.5" x14ac:dyDescent="0.2">
      <c r="B80" s="64">
        <v>7.2</v>
      </c>
      <c r="C80" s="16" t="s">
        <v>95</v>
      </c>
      <c r="D80" s="53">
        <v>0</v>
      </c>
      <c r="E80" s="53">
        <v>0</v>
      </c>
      <c r="F80" s="72">
        <f>'bloc 36'!E82+'bloc 37'!F85+'bloc 38'!H84+'bloc 39'!G84+bloc40!F82+'bloc 41'!F82+'bloc 42'!F82+'bloc 43'!F82+'bloc 44'!F82+'bloc 45'!F82+'bloc 46'!F82+'bloc 47'!F83</f>
        <v>1655906.88</v>
      </c>
      <c r="G80" s="72">
        <f>'bloc 36'!F82+'bloc 37'!G85+'bloc 38'!I84+'bloc 39'!H84+bloc40!G82+'bloc 41'!G82+'bloc 42'!G82+'bloc 43'!G82+'bloc 44'!G82+'bloc 45'!G82+'bloc 46'!G82+'bloc 47'!G83</f>
        <v>1066803.3600000001</v>
      </c>
      <c r="H80" s="72">
        <f>'bloc 36'!G82+'bloc 37'!H85+'bloc 38'!J84+'bloc 39'!I84+bloc40!H82+'bloc 41'!H82+'bloc 42'!H82+'bloc 43'!H82+'bloc 44'!H82+'bloc 45'!H82+'bloc 46'!H82+'bloc 47'!H83</f>
        <v>1066803.3600000001</v>
      </c>
      <c r="I80" s="72">
        <f>'bloc 36'!H82+'bloc 37'!I85+'bloc 38'!K84+'bloc 39'!J84+bloc40!I82+'bloc 41'!I82+'bloc 42'!I82+'bloc 43'!I82+'bloc 44'!I82+'bloc 45'!I82+'bloc 46'!I82+'bloc 47'!I83</f>
        <v>0</v>
      </c>
      <c r="J80" s="72">
        <f>'bloc 36'!I82+'bloc 37'!J85+'bloc 38'!L84+'bloc 39'!K84+bloc40!J82+'bloc 41'!J82+'bloc 42'!J82+'bloc 43'!J82+'bloc 44'!J82+'bloc 45'!J82+'bloc 46'!J82+'bloc 47'!J83</f>
        <v>347740.44479999994</v>
      </c>
      <c r="K80" s="72">
        <f>'bloc 36'!J82+'bloc 37'!K85+'bloc 38'!M84+'bloc 39'!L84+bloc40!K82+'bloc 41'!K82+'bloc 42'!K82+'bloc 43'!K82+'bloc 44'!K82+'bloc 45'!K82+'bloc 46'!K82+'bloc 47'!K83</f>
        <v>2003647.3247999994</v>
      </c>
      <c r="L80" s="76"/>
    </row>
    <row r="81" spans="2:12" ht="15.75" x14ac:dyDescent="0.2">
      <c r="B81" s="167" t="s">
        <v>96</v>
      </c>
      <c r="C81" s="168"/>
      <c r="D81" s="69">
        <f>D79+D80</f>
        <v>0</v>
      </c>
      <c r="E81" s="69">
        <v>0</v>
      </c>
      <c r="F81" s="69">
        <f>F79+F80</f>
        <v>1655906.88</v>
      </c>
      <c r="G81" s="69">
        <f t="shared" ref="G81:H81" si="5">G79+G80</f>
        <v>1127562.32</v>
      </c>
      <c r="H81" s="69">
        <f t="shared" si="5"/>
        <v>1127562.32</v>
      </c>
      <c r="I81" s="69">
        <f>I79+I80</f>
        <v>0</v>
      </c>
      <c r="J81" s="53">
        <f>F81*0.21</f>
        <v>347740.44479999994</v>
      </c>
      <c r="K81" s="72">
        <f>D81+F81+I81+J81</f>
        <v>2003647.3247999998</v>
      </c>
      <c r="L81" s="79"/>
    </row>
    <row r="82" spans="2:12" ht="15.75" x14ac:dyDescent="0.2">
      <c r="B82" s="169" t="s">
        <v>98</v>
      </c>
      <c r="C82" s="170"/>
      <c r="D82" s="92">
        <f>D13+D16+D44+D58+D73+D77+D81</f>
        <v>33548037.61947</v>
      </c>
      <c r="E82" s="92">
        <f>E13+E16+E44+E58+E73+E77+E81</f>
        <v>0</v>
      </c>
      <c r="F82" s="92">
        <f>F13+F16+F44+F58+F73+F77+F81</f>
        <v>1785906.8399999999</v>
      </c>
      <c r="G82" s="92">
        <f>G13+G16+G44+G58+G73+G77+G81</f>
        <v>1127562.32</v>
      </c>
      <c r="H82" s="92">
        <f>H13+H16+H44+H58+H73+H77+H81</f>
        <v>38890899.68</v>
      </c>
      <c r="I82" s="92">
        <f>'bloc 36'!H84+'bloc 37'!I87+'bloc 38'!K86+'bloc 39'!J86+bloc40!I84+'bloc 41'!I84+'bloc 42'!I84+'bloc 43'!I84+'bloc 44'!I84+'bloc 45'!I84+'bloc 46'!I84+'bloc 47'!I85</f>
        <v>132864.0882</v>
      </c>
      <c r="J82" s="92">
        <f>J13+J16+J58+J73+J77+J81+J44</f>
        <v>7207942.8560999995</v>
      </c>
      <c r="K82" s="93">
        <f>D82+F82+I82+J82</f>
        <v>42674751.403770007</v>
      </c>
      <c r="L82" s="94"/>
    </row>
    <row r="83" spans="2:12" ht="15.75" x14ac:dyDescent="0.2">
      <c r="B83" s="171" t="s">
        <v>97</v>
      </c>
      <c r="C83" s="172"/>
      <c r="D83" s="96">
        <f>D13+D16+D46+D51+D61</f>
        <v>28755851.77</v>
      </c>
      <c r="E83" s="96">
        <f>E13+E16+E46+E51+E61</f>
        <v>0</v>
      </c>
      <c r="F83" s="96">
        <f>F13+F16+F46+F51+F61</f>
        <v>0</v>
      </c>
      <c r="G83" s="96">
        <f>G13+G16+G46+G51+G61</f>
        <v>0</v>
      </c>
      <c r="H83" s="96">
        <f>H13+H16+H46+H51+H61</f>
        <v>32386208.75999999</v>
      </c>
      <c r="I83" s="96">
        <v>0</v>
      </c>
      <c r="J83" s="96">
        <f>D83*0.21</f>
        <v>6038728.8717</v>
      </c>
      <c r="K83" s="96">
        <f>D83+F83+I83+J83</f>
        <v>34794580.6417</v>
      </c>
      <c r="L83" s="97"/>
    </row>
    <row r="87" spans="2:12" ht="15.75" x14ac:dyDescent="0.25">
      <c r="C87" s="163" t="s">
        <v>148</v>
      </c>
      <c r="D87" s="205"/>
      <c r="E87" s="205"/>
      <c r="F87" s="205"/>
      <c r="G87" s="205"/>
      <c r="H87" s="205"/>
      <c r="I87" s="205" t="s">
        <v>134</v>
      </c>
      <c r="J87" s="205"/>
    </row>
    <row r="88" spans="2:12" ht="15.75" x14ac:dyDescent="0.2">
      <c r="C88" s="207" t="s">
        <v>147</v>
      </c>
      <c r="D88" s="85"/>
      <c r="E88" s="85"/>
      <c r="F88" s="208" t="s">
        <v>149</v>
      </c>
      <c r="G88" s="208"/>
      <c r="H88" s="208"/>
      <c r="I88" s="208"/>
      <c r="J88" s="208"/>
    </row>
    <row r="99" spans="3:3" x14ac:dyDescent="0.2">
      <c r="C99" s="1"/>
    </row>
  </sheetData>
  <mergeCells count="24">
    <mergeCell ref="F88:J88"/>
    <mergeCell ref="B78:L78"/>
    <mergeCell ref="B81:C81"/>
    <mergeCell ref="B82:C82"/>
    <mergeCell ref="B83:C83"/>
    <mergeCell ref="B45:L45"/>
    <mergeCell ref="B59:L59"/>
    <mergeCell ref="B73:C73"/>
    <mergeCell ref="B74:L74"/>
    <mergeCell ref="B77:C77"/>
    <mergeCell ref="B58:C58"/>
    <mergeCell ref="B13:C13"/>
    <mergeCell ref="B15:L15"/>
    <mergeCell ref="B16:C16"/>
    <mergeCell ref="B17:L17"/>
    <mergeCell ref="B44:C44"/>
    <mergeCell ref="B8:L8"/>
    <mergeCell ref="B3:L3"/>
    <mergeCell ref="B4:B5"/>
    <mergeCell ref="C4:C5"/>
    <mergeCell ref="D4:E4"/>
    <mergeCell ref="F4:G4"/>
    <mergeCell ref="I4:J4"/>
    <mergeCell ref="K4:L4"/>
  </mergeCells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78AA7-4B33-41BC-A7A9-5E2A6E19BC11}">
  <sheetPr>
    <tabColor rgb="FF92D050"/>
  </sheetPr>
  <dimension ref="B4:T94"/>
  <sheetViews>
    <sheetView zoomScale="90" zoomScaleNormal="90" workbookViewId="0">
      <selection activeCell="C93" sqref="C93:J94"/>
    </sheetView>
  </sheetViews>
  <sheetFormatPr defaultColWidth="9.33203125" defaultRowHeight="12.75" x14ac:dyDescent="0.2"/>
  <cols>
    <col min="1" max="2" width="9.33203125" style="7"/>
    <col min="3" max="3" width="52.83203125" style="7" customWidth="1"/>
    <col min="4" max="4" width="18.1640625" style="7" customWidth="1"/>
    <col min="5" max="5" width="28.33203125" style="7" hidden="1" customWidth="1"/>
    <col min="6" max="6" width="18.33203125" style="7" customWidth="1"/>
    <col min="7" max="7" width="22.33203125" style="7" hidden="1" customWidth="1"/>
    <col min="8" max="8" width="27.33203125" style="7" hidden="1" customWidth="1"/>
    <col min="9" max="10" width="17.1640625" style="7" customWidth="1"/>
    <col min="11" max="11" width="16.6640625" style="7" customWidth="1"/>
    <col min="12" max="12" width="31.1640625" style="7" hidden="1" customWidth="1"/>
    <col min="13" max="14" width="9.33203125" style="7"/>
    <col min="15" max="15" width="58" style="7" customWidth="1"/>
    <col min="16" max="16384" width="9.33203125" style="7"/>
  </cols>
  <sheetData>
    <row r="4" spans="2:20" ht="15.75" x14ac:dyDescent="0.2"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</row>
    <row r="5" spans="2:20" ht="12.75" customHeight="1" x14ac:dyDescent="0.2"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</row>
    <row r="6" spans="2:20" ht="12.75" customHeight="1" x14ac:dyDescent="0.2"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</row>
    <row r="7" spans="2:20" ht="12.75" customHeight="1" x14ac:dyDescent="0.2"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</row>
    <row r="8" spans="2:20" ht="86.25" customHeight="1" x14ac:dyDescent="0.2">
      <c r="B8" s="203" t="s">
        <v>135</v>
      </c>
      <c r="C8" s="204"/>
      <c r="D8" s="204"/>
      <c r="E8" s="204"/>
      <c r="F8" s="204"/>
      <c r="G8" s="204"/>
      <c r="H8" s="204"/>
      <c r="I8" s="204"/>
      <c r="J8" s="204"/>
      <c r="K8" s="204"/>
      <c r="L8" s="204"/>
    </row>
    <row r="9" spans="2:20" ht="42" customHeight="1" x14ac:dyDescent="0.2">
      <c r="B9" s="177" t="s">
        <v>0</v>
      </c>
      <c r="C9" s="179" t="s">
        <v>1</v>
      </c>
      <c r="D9" s="181" t="s">
        <v>2</v>
      </c>
      <c r="E9" s="182"/>
      <c r="F9" s="181" t="s">
        <v>3</v>
      </c>
      <c r="G9" s="182"/>
      <c r="H9" s="129" t="s">
        <v>100</v>
      </c>
      <c r="I9" s="183" t="s">
        <v>4</v>
      </c>
      <c r="J9" s="183"/>
      <c r="K9" s="183" t="s">
        <v>5</v>
      </c>
      <c r="L9" s="183"/>
    </row>
    <row r="10" spans="2:20" ht="15.75" x14ac:dyDescent="0.2">
      <c r="B10" s="178"/>
      <c r="C10" s="180"/>
      <c r="D10" s="44" t="s">
        <v>6</v>
      </c>
      <c r="E10" s="44" t="s">
        <v>7</v>
      </c>
      <c r="F10" s="44" t="s">
        <v>6</v>
      </c>
      <c r="G10" s="44" t="s">
        <v>7</v>
      </c>
      <c r="H10" s="44" t="s">
        <v>6</v>
      </c>
      <c r="I10" s="135" t="s">
        <v>122</v>
      </c>
      <c r="J10" s="136" t="s">
        <v>112</v>
      </c>
      <c r="K10" s="132" t="s">
        <v>6</v>
      </c>
      <c r="L10" s="84" t="s">
        <v>7</v>
      </c>
    </row>
    <row r="11" spans="2:20" ht="15.75" x14ac:dyDescent="0.2">
      <c r="B11" s="45">
        <v>1</v>
      </c>
      <c r="C11" s="46">
        <v>2</v>
      </c>
      <c r="D11" s="46">
        <v>3</v>
      </c>
      <c r="E11" s="46">
        <v>4</v>
      </c>
      <c r="F11" s="46">
        <v>4</v>
      </c>
      <c r="G11" s="46">
        <v>6</v>
      </c>
      <c r="H11" s="46">
        <v>5</v>
      </c>
      <c r="I11" s="46">
        <v>5</v>
      </c>
      <c r="J11" s="134">
        <v>6</v>
      </c>
      <c r="K11" s="46">
        <v>7</v>
      </c>
      <c r="L11" s="47">
        <v>9</v>
      </c>
    </row>
    <row r="12" spans="2:20" ht="15.75" x14ac:dyDescent="0.25"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</row>
    <row r="13" spans="2:20" ht="12.75" customHeight="1" x14ac:dyDescent="0.2">
      <c r="B13" s="174" t="s">
        <v>107</v>
      </c>
      <c r="C13" s="175"/>
      <c r="D13" s="175"/>
      <c r="E13" s="175"/>
      <c r="F13" s="175"/>
      <c r="G13" s="175"/>
      <c r="H13" s="175"/>
      <c r="I13" s="175"/>
      <c r="J13" s="175"/>
      <c r="K13" s="175"/>
      <c r="L13" s="176"/>
    </row>
    <row r="14" spans="2:20" ht="17.25" customHeight="1" x14ac:dyDescent="0.2">
      <c r="B14" s="49">
        <v>1.1000000000000001</v>
      </c>
      <c r="C14" s="50" t="s">
        <v>8</v>
      </c>
      <c r="D14" s="51">
        <v>0</v>
      </c>
      <c r="E14" s="51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2">
        <v>0</v>
      </c>
    </row>
    <row r="15" spans="2:20" ht="18" customHeight="1" x14ac:dyDescent="0.2">
      <c r="B15" s="49">
        <v>1.2</v>
      </c>
      <c r="C15" s="50" t="s">
        <v>9</v>
      </c>
      <c r="D15" s="51">
        <v>0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2">
        <v>0</v>
      </c>
    </row>
    <row r="16" spans="2:20" ht="33.75" customHeight="1" x14ac:dyDescent="0.2">
      <c r="B16" s="49">
        <v>1.3</v>
      </c>
      <c r="C16" s="50" t="s">
        <v>10</v>
      </c>
      <c r="D16" s="51">
        <v>0</v>
      </c>
      <c r="E16" s="51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2">
        <v>0</v>
      </c>
      <c r="T16" s="7" t="s">
        <v>101</v>
      </c>
    </row>
    <row r="17" spans="2:12" ht="15.75" x14ac:dyDescent="0.2">
      <c r="B17" s="49">
        <v>1.4</v>
      </c>
      <c r="C17" s="50" t="s">
        <v>11</v>
      </c>
      <c r="D17" s="51">
        <v>0</v>
      </c>
      <c r="E17" s="51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2">
        <v>0</v>
      </c>
    </row>
    <row r="18" spans="2:12" ht="18" customHeight="1" x14ac:dyDescent="0.2">
      <c r="B18" s="171" t="s">
        <v>12</v>
      </c>
      <c r="C18" s="172"/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4">
        <v>0</v>
      </c>
    </row>
    <row r="19" spans="2:12" ht="15.75" x14ac:dyDescent="0.25">
      <c r="B19" s="48"/>
      <c r="C19" s="48"/>
      <c r="D19" s="48"/>
      <c r="E19" s="48"/>
      <c r="F19" s="48"/>
      <c r="G19" s="48"/>
      <c r="H19" s="48"/>
      <c r="I19" s="48"/>
      <c r="J19" s="48">
        <v>0</v>
      </c>
      <c r="K19" s="48"/>
      <c r="L19" s="48"/>
    </row>
    <row r="20" spans="2:12" ht="15.75" x14ac:dyDescent="0.2">
      <c r="B20" s="174" t="s">
        <v>102</v>
      </c>
      <c r="C20" s="175"/>
      <c r="D20" s="175"/>
      <c r="E20" s="175"/>
      <c r="F20" s="175"/>
      <c r="G20" s="175"/>
      <c r="H20" s="175"/>
      <c r="I20" s="175"/>
      <c r="J20" s="175"/>
      <c r="K20" s="175"/>
      <c r="L20" s="176"/>
    </row>
    <row r="21" spans="2:12" ht="15.75" x14ac:dyDescent="0.2">
      <c r="B21" s="171" t="s">
        <v>13</v>
      </c>
      <c r="C21" s="172"/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4">
        <v>0</v>
      </c>
    </row>
    <row r="22" spans="2:12" ht="15.75" x14ac:dyDescent="0.2">
      <c r="B22" s="189" t="s">
        <v>130</v>
      </c>
      <c r="C22" s="190"/>
      <c r="D22" s="190"/>
      <c r="E22" s="190"/>
      <c r="F22" s="190"/>
      <c r="G22" s="190"/>
      <c r="H22" s="190"/>
      <c r="I22" s="190"/>
      <c r="J22" s="190"/>
      <c r="K22" s="190"/>
      <c r="L22" s="191"/>
    </row>
    <row r="23" spans="2:12" ht="15.75" x14ac:dyDescent="0.2">
      <c r="B23" s="15">
        <v>3.1</v>
      </c>
      <c r="C23" s="16" t="s">
        <v>14</v>
      </c>
      <c r="D23" s="17">
        <v>1666.67</v>
      </c>
      <c r="E23" s="17"/>
      <c r="F23" s="17">
        <v>0</v>
      </c>
      <c r="G23" s="17">
        <v>0</v>
      </c>
      <c r="H23" s="17">
        <v>1666.67</v>
      </c>
      <c r="I23" s="17">
        <f t="shared" ref="I23:I28" si="0">D23*0.19</f>
        <v>316.66730000000001</v>
      </c>
      <c r="J23" s="17">
        <v>0</v>
      </c>
      <c r="K23" s="17">
        <f t="shared" ref="K23:K28" si="1">D23+F23+I23</f>
        <v>1983.3373000000001</v>
      </c>
      <c r="L23" s="18"/>
    </row>
    <row r="24" spans="2:12" ht="15.75" x14ac:dyDescent="0.2">
      <c r="B24" s="19" t="s">
        <v>15</v>
      </c>
      <c r="C24" s="16" t="s">
        <v>16</v>
      </c>
      <c r="D24" s="17">
        <v>1666.67</v>
      </c>
      <c r="E24" s="17"/>
      <c r="F24" s="17">
        <v>0</v>
      </c>
      <c r="G24" s="17">
        <v>0</v>
      </c>
      <c r="H24" s="17">
        <v>1666.67</v>
      </c>
      <c r="I24" s="17">
        <f t="shared" si="0"/>
        <v>316.66730000000001</v>
      </c>
      <c r="J24" s="17">
        <v>0</v>
      </c>
      <c r="K24" s="17">
        <f t="shared" si="1"/>
        <v>1983.3373000000001</v>
      </c>
      <c r="L24" s="18"/>
    </row>
    <row r="25" spans="2:12" ht="14.25" customHeight="1" x14ac:dyDescent="0.2">
      <c r="B25" s="19" t="s">
        <v>17</v>
      </c>
      <c r="C25" s="16" t="s">
        <v>18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f t="shared" si="0"/>
        <v>0</v>
      </c>
      <c r="J25" s="17">
        <v>0</v>
      </c>
      <c r="K25" s="17">
        <f t="shared" si="1"/>
        <v>0</v>
      </c>
      <c r="L25" s="18">
        <v>0</v>
      </c>
    </row>
    <row r="26" spans="2:12" ht="15" customHeight="1" x14ac:dyDescent="0.2">
      <c r="B26" s="19" t="s">
        <v>19</v>
      </c>
      <c r="C26" s="16" t="s">
        <v>20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f t="shared" si="0"/>
        <v>0</v>
      </c>
      <c r="J26" s="17">
        <v>0</v>
      </c>
      <c r="K26" s="17">
        <f t="shared" si="1"/>
        <v>0</v>
      </c>
      <c r="L26" s="18">
        <v>0</v>
      </c>
    </row>
    <row r="27" spans="2:12" ht="31.5" x14ac:dyDescent="0.2">
      <c r="B27" s="20">
        <v>3.2</v>
      </c>
      <c r="C27" s="21" t="s">
        <v>21</v>
      </c>
      <c r="D27" s="22">
        <v>166.66666666666666</v>
      </c>
      <c r="E27" s="22"/>
      <c r="F27" s="22">
        <v>0</v>
      </c>
      <c r="G27" s="22">
        <v>0</v>
      </c>
      <c r="H27" s="23">
        <v>166.67</v>
      </c>
      <c r="I27" s="17">
        <f t="shared" si="0"/>
        <v>31.666666666666664</v>
      </c>
      <c r="J27" s="17">
        <v>0</v>
      </c>
      <c r="K27" s="17">
        <f t="shared" si="1"/>
        <v>198.33333333333331</v>
      </c>
      <c r="L27" s="24"/>
    </row>
    <row r="28" spans="2:12" ht="15" customHeight="1" x14ac:dyDescent="0.2">
      <c r="B28" s="15">
        <v>3.3</v>
      </c>
      <c r="C28" s="16" t="s">
        <v>22</v>
      </c>
      <c r="D28" s="17">
        <v>1250</v>
      </c>
      <c r="E28" s="17"/>
      <c r="F28" s="17">
        <v>0</v>
      </c>
      <c r="G28" s="17">
        <v>0</v>
      </c>
      <c r="H28" s="17">
        <v>1250</v>
      </c>
      <c r="I28" s="17">
        <f t="shared" si="0"/>
        <v>237.5</v>
      </c>
      <c r="J28" s="17">
        <v>0</v>
      </c>
      <c r="K28" s="17">
        <f t="shared" si="1"/>
        <v>1487.5</v>
      </c>
      <c r="L28" s="18"/>
    </row>
    <row r="29" spans="2:12" ht="31.5" x14ac:dyDescent="0.2">
      <c r="B29" s="15">
        <v>3.4</v>
      </c>
      <c r="C29" s="16" t="s">
        <v>23</v>
      </c>
      <c r="D29" s="17">
        <f>D30+D31</f>
        <v>4666.67</v>
      </c>
      <c r="E29" s="17"/>
      <c r="F29" s="17">
        <v>0</v>
      </c>
      <c r="G29" s="17">
        <v>0</v>
      </c>
      <c r="H29" s="17">
        <v>2000</v>
      </c>
      <c r="I29" s="17">
        <f>I30+J31</f>
        <v>966.66729999999995</v>
      </c>
      <c r="J29" s="17"/>
      <c r="K29" s="17">
        <f>K30+K31</f>
        <v>5633.3373000000001</v>
      </c>
      <c r="L29" s="18"/>
    </row>
    <row r="30" spans="2:12" ht="31.5" x14ac:dyDescent="0.2">
      <c r="B30" s="15" t="s">
        <v>113</v>
      </c>
      <c r="C30" s="16" t="s">
        <v>119</v>
      </c>
      <c r="D30" s="17">
        <v>666.67</v>
      </c>
      <c r="E30" s="17"/>
      <c r="F30" s="17">
        <v>0</v>
      </c>
      <c r="G30" s="17"/>
      <c r="H30" s="17"/>
      <c r="I30" s="17">
        <f>D30*0.19</f>
        <v>126.6673</v>
      </c>
      <c r="J30" s="17">
        <v>0</v>
      </c>
      <c r="K30" s="17">
        <f>D30+F30+I30</f>
        <v>793.33729999999991</v>
      </c>
      <c r="L30" s="18"/>
    </row>
    <row r="31" spans="2:12" ht="31.5" x14ac:dyDescent="0.2">
      <c r="B31" s="15" t="s">
        <v>114</v>
      </c>
      <c r="C31" s="16" t="s">
        <v>120</v>
      </c>
      <c r="D31" s="17">
        <v>4000</v>
      </c>
      <c r="E31" s="17"/>
      <c r="F31" s="17">
        <v>0</v>
      </c>
      <c r="G31" s="17"/>
      <c r="H31" s="17"/>
      <c r="I31" s="17">
        <v>0</v>
      </c>
      <c r="J31" s="17">
        <f>D31*0.21</f>
        <v>840</v>
      </c>
      <c r="K31" s="17">
        <f>+D31+F31+I31+J31</f>
        <v>4840</v>
      </c>
      <c r="L31" s="18"/>
    </row>
    <row r="32" spans="2:12" ht="15.75" x14ac:dyDescent="0.2">
      <c r="B32" s="15">
        <v>3.5</v>
      </c>
      <c r="C32" s="16" t="s">
        <v>24</v>
      </c>
      <c r="D32" s="17">
        <f>D33+D34+D35+D36+D37+D38</f>
        <v>48331.67</v>
      </c>
      <c r="E32" s="17"/>
      <c r="F32" s="17">
        <v>0</v>
      </c>
      <c r="G32" s="17">
        <v>0</v>
      </c>
      <c r="H32" s="17">
        <v>48164.17</v>
      </c>
      <c r="I32" s="17">
        <f t="shared" ref="I32:I38" si="2">D32*0.19</f>
        <v>9183.0172999999995</v>
      </c>
      <c r="J32" s="17">
        <v>0</v>
      </c>
      <c r="K32" s="17">
        <f t="shared" ref="K32:K39" si="3">D32+F32+I32</f>
        <v>57514.687299999998</v>
      </c>
      <c r="L32" s="18"/>
    </row>
    <row r="33" spans="2:12" ht="15.75" x14ac:dyDescent="0.2">
      <c r="B33" s="19" t="s">
        <v>25</v>
      </c>
      <c r="C33" s="16" t="s">
        <v>26</v>
      </c>
      <c r="D33" s="17">
        <v>0</v>
      </c>
      <c r="E33" s="17"/>
      <c r="F33" s="17">
        <v>0</v>
      </c>
      <c r="G33" s="17">
        <v>0</v>
      </c>
      <c r="H33" s="17">
        <v>0</v>
      </c>
      <c r="I33" s="17">
        <f t="shared" si="2"/>
        <v>0</v>
      </c>
      <c r="J33" s="17">
        <v>0</v>
      </c>
      <c r="K33" s="17">
        <f t="shared" si="3"/>
        <v>0</v>
      </c>
      <c r="L33" s="18"/>
    </row>
    <row r="34" spans="2:12" ht="15.75" x14ac:dyDescent="0.2">
      <c r="B34" s="19" t="s">
        <v>27</v>
      </c>
      <c r="C34" s="16" t="s">
        <v>28</v>
      </c>
      <c r="D34" s="17">
        <v>0</v>
      </c>
      <c r="E34" s="17"/>
      <c r="F34" s="17">
        <v>0</v>
      </c>
      <c r="G34" s="17">
        <v>0</v>
      </c>
      <c r="H34" s="17">
        <v>0</v>
      </c>
      <c r="I34" s="17">
        <f t="shared" si="2"/>
        <v>0</v>
      </c>
      <c r="J34" s="17">
        <v>0</v>
      </c>
      <c r="K34" s="17">
        <f t="shared" si="3"/>
        <v>0</v>
      </c>
      <c r="L34" s="18"/>
    </row>
    <row r="35" spans="2:12" ht="31.5" x14ac:dyDescent="0.2">
      <c r="B35" s="19" t="s">
        <v>29</v>
      </c>
      <c r="C35" s="16" t="s">
        <v>30</v>
      </c>
      <c r="D35" s="17">
        <v>5000</v>
      </c>
      <c r="E35" s="17"/>
      <c r="F35" s="17">
        <v>0</v>
      </c>
      <c r="G35" s="17">
        <v>0</v>
      </c>
      <c r="H35" s="17">
        <v>5000</v>
      </c>
      <c r="I35" s="17">
        <f t="shared" si="2"/>
        <v>950</v>
      </c>
      <c r="J35" s="17">
        <v>0</v>
      </c>
      <c r="K35" s="17">
        <f t="shared" si="3"/>
        <v>5950</v>
      </c>
      <c r="L35" s="18"/>
    </row>
    <row r="36" spans="2:12" s="9" customFormat="1" ht="31.5" x14ac:dyDescent="0.2">
      <c r="B36" s="19" t="s">
        <v>31</v>
      </c>
      <c r="C36" s="16" t="s">
        <v>32</v>
      </c>
      <c r="D36" s="53">
        <v>166.67</v>
      </c>
      <c r="E36" s="53"/>
      <c r="F36" s="53">
        <v>0</v>
      </c>
      <c r="G36" s="53"/>
      <c r="H36" s="53">
        <v>1500</v>
      </c>
      <c r="I36" s="53">
        <f t="shared" si="2"/>
        <v>31.667299999999997</v>
      </c>
      <c r="J36" s="53">
        <v>0</v>
      </c>
      <c r="K36" s="53">
        <f t="shared" si="3"/>
        <v>198.33729999999997</v>
      </c>
      <c r="L36" s="54"/>
    </row>
    <row r="37" spans="2:12" ht="31.5" x14ac:dyDescent="0.2">
      <c r="B37" s="19" t="s">
        <v>33</v>
      </c>
      <c r="C37" s="16" t="s">
        <v>34</v>
      </c>
      <c r="D37" s="17">
        <v>5500.83</v>
      </c>
      <c r="E37" s="17"/>
      <c r="F37" s="17">
        <v>0</v>
      </c>
      <c r="G37" s="17"/>
      <c r="H37" s="17">
        <v>5500</v>
      </c>
      <c r="I37" s="17">
        <f t="shared" si="2"/>
        <v>1045.1577</v>
      </c>
      <c r="J37" s="17">
        <v>0</v>
      </c>
      <c r="K37" s="17">
        <f t="shared" si="3"/>
        <v>6545.9876999999997</v>
      </c>
      <c r="L37" s="18"/>
    </row>
    <row r="38" spans="2:12" ht="15.75" x14ac:dyDescent="0.2">
      <c r="B38" s="19" t="s">
        <v>35</v>
      </c>
      <c r="C38" s="16" t="s">
        <v>36</v>
      </c>
      <c r="D38" s="17">
        <v>37664.17</v>
      </c>
      <c r="E38" s="17"/>
      <c r="F38" s="17">
        <v>0</v>
      </c>
      <c r="G38" s="17"/>
      <c r="H38" s="17">
        <v>36164.17</v>
      </c>
      <c r="I38" s="17">
        <f t="shared" si="2"/>
        <v>7156.1922999999997</v>
      </c>
      <c r="J38" s="17">
        <v>0</v>
      </c>
      <c r="K38" s="17">
        <f t="shared" si="3"/>
        <v>44820.362300000001</v>
      </c>
      <c r="L38" s="18"/>
    </row>
    <row r="39" spans="2:12" ht="15.75" x14ac:dyDescent="0.2">
      <c r="B39" s="15">
        <v>3.6</v>
      </c>
      <c r="C39" s="16" t="s">
        <v>37</v>
      </c>
      <c r="D39" s="17">
        <v>0</v>
      </c>
      <c r="E39" s="17"/>
      <c r="F39" s="17">
        <v>5833.33</v>
      </c>
      <c r="G39" s="17"/>
      <c r="H39" s="17">
        <v>6000</v>
      </c>
      <c r="I39" s="17">
        <f>(D39+F39)*0.19</f>
        <v>1108.3326999999999</v>
      </c>
      <c r="J39" s="17">
        <v>0</v>
      </c>
      <c r="K39" s="17">
        <f t="shared" si="3"/>
        <v>6941.6626999999999</v>
      </c>
      <c r="L39" s="18"/>
    </row>
    <row r="40" spans="2:12" ht="16.5" customHeight="1" x14ac:dyDescent="0.2">
      <c r="B40" s="15">
        <v>3.7</v>
      </c>
      <c r="C40" s="16" t="s">
        <v>38</v>
      </c>
      <c r="D40" s="17">
        <v>0</v>
      </c>
      <c r="E40" s="17"/>
      <c r="F40" s="17">
        <v>5000</v>
      </c>
      <c r="G40" s="17"/>
      <c r="H40" s="17">
        <v>5000</v>
      </c>
      <c r="I40" s="17">
        <v>0</v>
      </c>
      <c r="J40" s="17">
        <f>F40*0.21</f>
        <v>1050</v>
      </c>
      <c r="K40" s="17">
        <f>D40+F40+I40+J40</f>
        <v>6050</v>
      </c>
      <c r="L40" s="18"/>
    </row>
    <row r="41" spans="2:12" ht="31.5" x14ac:dyDescent="0.2">
      <c r="B41" s="19" t="s">
        <v>39</v>
      </c>
      <c r="C41" s="16" t="s">
        <v>40</v>
      </c>
      <c r="D41" s="17">
        <v>0</v>
      </c>
      <c r="E41" s="17"/>
      <c r="F41" s="17">
        <v>4000</v>
      </c>
      <c r="G41" s="17"/>
      <c r="H41" s="17">
        <v>4000</v>
      </c>
      <c r="I41" s="17">
        <v>0</v>
      </c>
      <c r="J41" s="17">
        <f>F41*0.21</f>
        <v>840</v>
      </c>
      <c r="K41" s="17">
        <f>D41+F41+I41+J41</f>
        <v>4840</v>
      </c>
      <c r="L41" s="18"/>
    </row>
    <row r="42" spans="2:12" ht="15.75" x14ac:dyDescent="0.2">
      <c r="B42" s="19" t="s">
        <v>41</v>
      </c>
      <c r="C42" s="16" t="s">
        <v>42</v>
      </c>
      <c r="D42" s="17">
        <v>0</v>
      </c>
      <c r="E42" s="17"/>
      <c r="F42" s="17">
        <v>1000</v>
      </c>
      <c r="G42" s="17"/>
      <c r="H42" s="17">
        <v>1000</v>
      </c>
      <c r="I42" s="17">
        <v>0</v>
      </c>
      <c r="J42" s="17">
        <f>F42*0.21</f>
        <v>210</v>
      </c>
      <c r="K42" s="17">
        <f>D42+F42+I42+J42</f>
        <v>1210</v>
      </c>
      <c r="L42" s="18"/>
    </row>
    <row r="43" spans="2:12" ht="18" customHeight="1" x14ac:dyDescent="0.2">
      <c r="B43" s="15">
        <v>3.8</v>
      </c>
      <c r="C43" s="16" t="s">
        <v>43</v>
      </c>
      <c r="D43" s="17">
        <f>D44+D47+D48</f>
        <v>24341.679999999997</v>
      </c>
      <c r="E43" s="17"/>
      <c r="F43" s="17">
        <v>0</v>
      </c>
      <c r="G43" s="17"/>
      <c r="H43" s="17">
        <v>27566.67</v>
      </c>
      <c r="I43" s="17">
        <v>0</v>
      </c>
      <c r="J43" s="17">
        <f>D43*0.21</f>
        <v>5111.7527999999993</v>
      </c>
      <c r="K43" s="17">
        <f>D43+F43+I43+J43</f>
        <v>29453.432799999995</v>
      </c>
      <c r="L43" s="18"/>
    </row>
    <row r="44" spans="2:12" ht="15.75" x14ac:dyDescent="0.2">
      <c r="B44" s="19" t="s">
        <v>44</v>
      </c>
      <c r="C44" s="16" t="s">
        <v>45</v>
      </c>
      <c r="D44" s="17">
        <v>1666.67</v>
      </c>
      <c r="E44" s="17"/>
      <c r="F44" s="17">
        <v>0</v>
      </c>
      <c r="G44" s="17"/>
      <c r="H44" s="17">
        <v>1666.67</v>
      </c>
      <c r="I44" s="17">
        <v>0</v>
      </c>
      <c r="J44" s="17">
        <f t="shared" ref="J44:J48" si="4">D44*0.21</f>
        <v>350.00069999999999</v>
      </c>
      <c r="K44" s="17">
        <f t="shared" ref="K44:K46" si="5">D44+F44+I44+J44</f>
        <v>2016.6707000000001</v>
      </c>
      <c r="L44" s="18"/>
    </row>
    <row r="45" spans="2:12" ht="15.75" x14ac:dyDescent="0.2">
      <c r="B45" s="19" t="s">
        <v>46</v>
      </c>
      <c r="C45" s="16" t="s">
        <v>47</v>
      </c>
      <c r="D45" s="17">
        <v>1000</v>
      </c>
      <c r="E45" s="17"/>
      <c r="F45" s="17">
        <v>0</v>
      </c>
      <c r="G45" s="17"/>
      <c r="H45" s="17">
        <v>1000</v>
      </c>
      <c r="I45" s="17">
        <v>0</v>
      </c>
      <c r="J45" s="17">
        <f t="shared" si="4"/>
        <v>210</v>
      </c>
      <c r="K45" s="17">
        <f t="shared" si="5"/>
        <v>1210</v>
      </c>
      <c r="L45" s="18"/>
    </row>
    <row r="46" spans="2:12" ht="50.25" customHeight="1" x14ac:dyDescent="0.2">
      <c r="B46" s="19" t="s">
        <v>48</v>
      </c>
      <c r="C46" s="16" t="s">
        <v>49</v>
      </c>
      <c r="D46" s="17">
        <v>666.67</v>
      </c>
      <c r="E46" s="17"/>
      <c r="F46" s="17">
        <v>0</v>
      </c>
      <c r="G46" s="17"/>
      <c r="H46" s="17">
        <v>666.67</v>
      </c>
      <c r="I46" s="17">
        <v>0</v>
      </c>
      <c r="J46" s="17">
        <f t="shared" si="4"/>
        <v>140.00069999999999</v>
      </c>
      <c r="K46" s="17">
        <f t="shared" si="5"/>
        <v>806.6706999999999</v>
      </c>
      <c r="L46" s="18"/>
    </row>
    <row r="47" spans="2:12" ht="15.75" customHeight="1" x14ac:dyDescent="0.2">
      <c r="B47" s="19" t="s">
        <v>50</v>
      </c>
      <c r="C47" s="16" t="s">
        <v>51</v>
      </c>
      <c r="D47" s="17">
        <v>20416.669999999998</v>
      </c>
      <c r="E47" s="17"/>
      <c r="F47" s="17">
        <v>0</v>
      </c>
      <c r="G47" s="17"/>
      <c r="H47" s="17">
        <v>21500</v>
      </c>
      <c r="I47" s="17">
        <v>0</v>
      </c>
      <c r="J47" s="17">
        <f t="shared" si="4"/>
        <v>4287.5006999999996</v>
      </c>
      <c r="K47" s="17">
        <f>D47+F47+I47+J47</f>
        <v>24704.170699999999</v>
      </c>
      <c r="L47" s="18"/>
    </row>
    <row r="48" spans="2:12" ht="47.25" x14ac:dyDescent="0.2">
      <c r="B48" s="25" t="s">
        <v>52</v>
      </c>
      <c r="C48" s="21" t="s">
        <v>53</v>
      </c>
      <c r="D48" s="22">
        <v>2258.34</v>
      </c>
      <c r="E48" s="22"/>
      <c r="F48" s="22">
        <v>0</v>
      </c>
      <c r="G48" s="22"/>
      <c r="H48" s="23">
        <v>4400</v>
      </c>
      <c r="I48" s="17">
        <v>0</v>
      </c>
      <c r="J48" s="17">
        <f t="shared" si="4"/>
        <v>474.25139999999999</v>
      </c>
      <c r="K48" s="17">
        <f>D48+F48+I48+J48</f>
        <v>2732.5914000000002</v>
      </c>
      <c r="L48" s="24"/>
    </row>
    <row r="49" spans="2:12" ht="17.25" customHeight="1" x14ac:dyDescent="0.2">
      <c r="B49" s="167" t="s">
        <v>54</v>
      </c>
      <c r="C49" s="168"/>
      <c r="D49" s="26">
        <f>D23+D27+D28+D29+D32+D39+D40+D43</f>
        <v>80423.356666666659</v>
      </c>
      <c r="E49" s="26"/>
      <c r="F49" s="26">
        <f>F23+F27+F28+F29+F32+F39+F40+F43</f>
        <v>10833.33</v>
      </c>
      <c r="G49" s="26"/>
      <c r="H49" s="26">
        <f>H23+H27+H28+H29+H32+H39+H40+H43</f>
        <v>91814.18</v>
      </c>
      <c r="I49" s="26">
        <f>I39+I32+I30+I28+I23+I27</f>
        <v>11003.851266666663</v>
      </c>
      <c r="J49" s="26">
        <f>J43+J40+J31</f>
        <v>7001.7527999999993</v>
      </c>
      <c r="K49" s="26">
        <f>D49+F49+I49+J49</f>
        <v>109262.29073333333</v>
      </c>
      <c r="L49" s="27"/>
    </row>
    <row r="50" spans="2:12" ht="12.75" customHeight="1" x14ac:dyDescent="0.2">
      <c r="B50" s="164" t="s">
        <v>103</v>
      </c>
      <c r="C50" s="165"/>
      <c r="D50" s="165"/>
      <c r="E50" s="165"/>
      <c r="F50" s="165"/>
      <c r="G50" s="165"/>
      <c r="H50" s="165"/>
      <c r="I50" s="165"/>
      <c r="J50" s="165"/>
      <c r="K50" s="165"/>
      <c r="L50" s="166"/>
    </row>
    <row r="51" spans="2:12" ht="15.75" customHeight="1" x14ac:dyDescent="0.2">
      <c r="B51" s="15">
        <v>4.0999999999999996</v>
      </c>
      <c r="C51" s="16" t="s">
        <v>55</v>
      </c>
      <c r="D51" s="31">
        <f>D52+D53+D54+D55</f>
        <v>2634226.9899999998</v>
      </c>
      <c r="E51" s="31"/>
      <c r="F51" s="17">
        <v>0</v>
      </c>
      <c r="G51" s="17"/>
      <c r="H51" s="17">
        <v>2406860.88</v>
      </c>
      <c r="I51" s="17">
        <v>0</v>
      </c>
      <c r="J51" s="17">
        <f>D51*0.21</f>
        <v>553187.66789999988</v>
      </c>
      <c r="K51" s="31">
        <f>D51+F51+I51+J51</f>
        <v>3187414.6578999995</v>
      </c>
      <c r="L51" s="35"/>
    </row>
    <row r="52" spans="2:12" ht="16.5" customHeight="1" x14ac:dyDescent="0.2">
      <c r="B52" s="28" t="s">
        <v>56</v>
      </c>
      <c r="C52" s="29" t="s">
        <v>57</v>
      </c>
      <c r="D52" s="33">
        <v>2404807.17</v>
      </c>
      <c r="E52" s="33"/>
      <c r="F52" s="17">
        <v>0</v>
      </c>
      <c r="G52" s="30"/>
      <c r="H52" s="30">
        <v>2403510.35</v>
      </c>
      <c r="I52" s="17">
        <v>0</v>
      </c>
      <c r="J52" s="17">
        <f t="shared" ref="J52:J62" si="6">D52*0.21</f>
        <v>505009.50569999998</v>
      </c>
      <c r="K52" s="31">
        <f t="shared" ref="K52:K62" si="7">D52+F52+I52+J52</f>
        <v>2909816.6757</v>
      </c>
      <c r="L52" s="34"/>
    </row>
    <row r="53" spans="2:12" ht="15.75" x14ac:dyDescent="0.2">
      <c r="B53" s="28" t="s">
        <v>58</v>
      </c>
      <c r="C53" s="29" t="s">
        <v>61</v>
      </c>
      <c r="D53" s="30">
        <v>4235.53</v>
      </c>
      <c r="E53" s="30"/>
      <c r="F53" s="17">
        <v>0</v>
      </c>
      <c r="G53" s="30"/>
      <c r="H53" s="30">
        <v>2929.96</v>
      </c>
      <c r="I53" s="17">
        <v>0</v>
      </c>
      <c r="J53" s="17">
        <f t="shared" si="6"/>
        <v>889.46129999999994</v>
      </c>
      <c r="K53" s="31">
        <f t="shared" si="7"/>
        <v>5124.9912999999997</v>
      </c>
      <c r="L53" s="32"/>
    </row>
    <row r="54" spans="2:12" ht="15" customHeight="1" x14ac:dyDescent="0.2">
      <c r="B54" s="28" t="s">
        <v>60</v>
      </c>
      <c r="C54" s="29" t="s">
        <v>59</v>
      </c>
      <c r="D54" s="33">
        <f>945.4+26.94</f>
        <v>972.34</v>
      </c>
      <c r="E54" s="30"/>
      <c r="F54" s="17">
        <v>0</v>
      </c>
      <c r="G54" s="30"/>
      <c r="H54" s="30">
        <v>420.57</v>
      </c>
      <c r="I54" s="17">
        <v>0</v>
      </c>
      <c r="J54" s="17">
        <f t="shared" si="6"/>
        <v>204.19139999999999</v>
      </c>
      <c r="K54" s="31">
        <f t="shared" si="7"/>
        <v>1176.5314000000001</v>
      </c>
      <c r="L54" s="32"/>
    </row>
    <row r="55" spans="2:12" ht="15.75" x14ac:dyDescent="0.2">
      <c r="B55" s="28" t="s">
        <v>99</v>
      </c>
      <c r="C55" s="29" t="s">
        <v>64</v>
      </c>
      <c r="D55" s="33">
        <v>224211.95</v>
      </c>
      <c r="E55" s="30"/>
      <c r="F55" s="17">
        <v>0</v>
      </c>
      <c r="G55" s="30"/>
      <c r="H55" s="30">
        <v>0</v>
      </c>
      <c r="I55" s="17">
        <v>0</v>
      </c>
      <c r="J55" s="17">
        <f t="shared" si="6"/>
        <v>47084.5095</v>
      </c>
      <c r="K55" s="31">
        <f t="shared" si="7"/>
        <v>271296.4595</v>
      </c>
      <c r="L55" s="32"/>
    </row>
    <row r="56" spans="2:12" ht="31.5" x14ac:dyDescent="0.2">
      <c r="B56" s="15">
        <v>4.2</v>
      </c>
      <c r="C56" s="16" t="s">
        <v>62</v>
      </c>
      <c r="D56" s="31">
        <f>D57</f>
        <v>46395.1</v>
      </c>
      <c r="E56" s="31"/>
      <c r="F56" s="17">
        <v>0</v>
      </c>
      <c r="G56" s="17"/>
      <c r="H56" s="17">
        <v>241989.85</v>
      </c>
      <c r="I56" s="17">
        <v>0</v>
      </c>
      <c r="J56" s="17">
        <f t="shared" si="6"/>
        <v>9742.9709999999995</v>
      </c>
      <c r="K56" s="31">
        <f t="shared" si="7"/>
        <v>56138.070999999996</v>
      </c>
      <c r="L56" s="35"/>
    </row>
    <row r="57" spans="2:12" ht="15.75" x14ac:dyDescent="0.2">
      <c r="B57" s="28" t="s">
        <v>63</v>
      </c>
      <c r="C57" s="29" t="s">
        <v>61</v>
      </c>
      <c r="D57" s="33">
        <v>46395.1</v>
      </c>
      <c r="E57" s="33"/>
      <c r="F57" s="17">
        <v>0</v>
      </c>
      <c r="G57" s="30"/>
      <c r="H57" s="30">
        <v>37507.370000000003</v>
      </c>
      <c r="I57" s="17">
        <v>0</v>
      </c>
      <c r="J57" s="17">
        <f t="shared" si="6"/>
        <v>9742.9709999999995</v>
      </c>
      <c r="K57" s="31">
        <f t="shared" si="7"/>
        <v>56138.070999999996</v>
      </c>
      <c r="L57" s="34"/>
    </row>
    <row r="58" spans="2:12" ht="31.5" x14ac:dyDescent="0.2">
      <c r="B58" s="15">
        <v>4.3</v>
      </c>
      <c r="C58" s="16" t="s">
        <v>66</v>
      </c>
      <c r="D58" s="31">
        <f>D59</f>
        <v>16000</v>
      </c>
      <c r="E58" s="31"/>
      <c r="F58" s="17">
        <v>0</v>
      </c>
      <c r="G58" s="17"/>
      <c r="H58" s="17">
        <v>75000</v>
      </c>
      <c r="I58" s="17">
        <v>0</v>
      </c>
      <c r="J58" s="17">
        <f t="shared" si="6"/>
        <v>3360</v>
      </c>
      <c r="K58" s="31">
        <f t="shared" si="7"/>
        <v>19360</v>
      </c>
      <c r="L58" s="35"/>
    </row>
    <row r="59" spans="2:12" ht="15.75" x14ac:dyDescent="0.2">
      <c r="B59" s="28" t="s">
        <v>67</v>
      </c>
      <c r="C59" s="29" t="s">
        <v>61</v>
      </c>
      <c r="D59" s="33">
        <v>16000</v>
      </c>
      <c r="E59" s="33"/>
      <c r="F59" s="17">
        <v>0</v>
      </c>
      <c r="G59" s="30"/>
      <c r="H59" s="30">
        <v>75000</v>
      </c>
      <c r="I59" s="17">
        <v>0</v>
      </c>
      <c r="J59" s="17">
        <f t="shared" si="6"/>
        <v>3360</v>
      </c>
      <c r="K59" s="31">
        <f t="shared" si="7"/>
        <v>19360</v>
      </c>
      <c r="L59" s="34"/>
    </row>
    <row r="60" spans="2:12" ht="35.25" customHeight="1" x14ac:dyDescent="0.2">
      <c r="B60" s="15">
        <v>4.4000000000000004</v>
      </c>
      <c r="C60" s="16" t="s">
        <v>68</v>
      </c>
      <c r="D60" s="17">
        <v>0</v>
      </c>
      <c r="E60" s="17"/>
      <c r="F60" s="17">
        <v>0</v>
      </c>
      <c r="G60" s="17"/>
      <c r="H60" s="17">
        <v>0</v>
      </c>
      <c r="I60" s="17">
        <v>0</v>
      </c>
      <c r="J60" s="17">
        <f t="shared" si="6"/>
        <v>0</v>
      </c>
      <c r="K60" s="31">
        <f t="shared" si="7"/>
        <v>0</v>
      </c>
      <c r="L60" s="18"/>
    </row>
    <row r="61" spans="2:12" ht="15.75" x14ac:dyDescent="0.2">
      <c r="B61" s="15">
        <v>4.5</v>
      </c>
      <c r="C61" s="16" t="s">
        <v>69</v>
      </c>
      <c r="D61" s="17">
        <v>0</v>
      </c>
      <c r="E61" s="17"/>
      <c r="F61" s="17">
        <v>0</v>
      </c>
      <c r="G61" s="17"/>
      <c r="H61" s="17">
        <v>0</v>
      </c>
      <c r="I61" s="17">
        <v>0</v>
      </c>
      <c r="J61" s="17">
        <f t="shared" si="6"/>
        <v>0</v>
      </c>
      <c r="K61" s="31">
        <f t="shared" si="7"/>
        <v>0</v>
      </c>
      <c r="L61" s="18"/>
    </row>
    <row r="62" spans="2:12" ht="15.75" x14ac:dyDescent="0.2">
      <c r="B62" s="15">
        <v>4.5999999999999996</v>
      </c>
      <c r="C62" s="16" t="s">
        <v>70</v>
      </c>
      <c r="D62" s="17">
        <v>0</v>
      </c>
      <c r="E62" s="17"/>
      <c r="F62" s="17">
        <v>0</v>
      </c>
      <c r="G62" s="17"/>
      <c r="H62" s="17">
        <v>0</v>
      </c>
      <c r="I62" s="17">
        <v>0</v>
      </c>
      <c r="J62" s="17">
        <f t="shared" si="6"/>
        <v>0</v>
      </c>
      <c r="K62" s="31">
        <f t="shared" si="7"/>
        <v>0</v>
      </c>
      <c r="L62" s="18"/>
    </row>
    <row r="63" spans="2:12" s="149" customFormat="1" ht="15.75" x14ac:dyDescent="0.2">
      <c r="B63" s="167" t="s">
        <v>71</v>
      </c>
      <c r="C63" s="168"/>
      <c r="D63" s="150">
        <f>D51+D56+D58+D60+D61+D62</f>
        <v>2696622.09</v>
      </c>
      <c r="E63" s="88"/>
      <c r="F63" s="26">
        <v>0</v>
      </c>
      <c r="G63" s="26"/>
      <c r="H63" s="26">
        <f>H51+H56+H58+H60+H61+H62</f>
        <v>2723850.73</v>
      </c>
      <c r="I63" s="26">
        <v>0</v>
      </c>
      <c r="J63" s="26">
        <f>J51+J56+J58+J60+J61+J62</f>
        <v>566290.6388999999</v>
      </c>
      <c r="K63" s="26">
        <f>K51+K56+K58+K60+K61+K62</f>
        <v>3262912.7288999995</v>
      </c>
      <c r="L63" s="38"/>
    </row>
    <row r="64" spans="2:12" ht="18" customHeight="1" x14ac:dyDescent="0.2">
      <c r="B64" s="164" t="s">
        <v>104</v>
      </c>
      <c r="C64" s="165"/>
      <c r="D64" s="165"/>
      <c r="E64" s="165"/>
      <c r="F64" s="165"/>
      <c r="G64" s="165"/>
      <c r="H64" s="165"/>
      <c r="I64" s="165"/>
      <c r="J64" s="165"/>
      <c r="K64" s="165"/>
      <c r="L64" s="166"/>
    </row>
    <row r="65" spans="2:12" ht="15.75" x14ac:dyDescent="0.2">
      <c r="B65" s="15">
        <v>5.0999999999999996</v>
      </c>
      <c r="C65" s="16" t="s">
        <v>72</v>
      </c>
      <c r="D65" s="31">
        <v>0</v>
      </c>
      <c r="E65" s="31"/>
      <c r="F65" s="17">
        <v>0</v>
      </c>
      <c r="G65" s="17"/>
      <c r="H65" s="17">
        <v>60000</v>
      </c>
      <c r="I65" s="17">
        <f>D65*0.21</f>
        <v>0</v>
      </c>
      <c r="J65" s="17">
        <v>0</v>
      </c>
      <c r="K65" s="31">
        <f t="shared" ref="K65:K75" si="8">D65+F65+I65</f>
        <v>0</v>
      </c>
      <c r="L65" s="35"/>
    </row>
    <row r="66" spans="2:12" ht="32.25" customHeight="1" x14ac:dyDescent="0.2">
      <c r="B66" s="19" t="s">
        <v>73</v>
      </c>
      <c r="C66" s="16" t="s">
        <v>74</v>
      </c>
      <c r="D66" s="31">
        <v>0</v>
      </c>
      <c r="E66" s="31"/>
      <c r="F66" s="17">
        <v>0</v>
      </c>
      <c r="G66" s="17"/>
      <c r="H66" s="17">
        <v>50000</v>
      </c>
      <c r="I66" s="17">
        <f>D66*0.21</f>
        <v>0</v>
      </c>
      <c r="J66" s="17">
        <v>0</v>
      </c>
      <c r="K66" s="31">
        <f t="shared" si="8"/>
        <v>0</v>
      </c>
      <c r="L66" s="35"/>
    </row>
    <row r="67" spans="2:12" ht="15.75" x14ac:dyDescent="0.2">
      <c r="B67" s="25" t="s">
        <v>75</v>
      </c>
      <c r="C67" s="21" t="s">
        <v>76</v>
      </c>
      <c r="D67" s="36">
        <v>0</v>
      </c>
      <c r="E67" s="36"/>
      <c r="F67" s="17">
        <v>0</v>
      </c>
      <c r="G67" s="22"/>
      <c r="H67" s="23">
        <v>10000</v>
      </c>
      <c r="I67" s="17">
        <f>D67*0.21</f>
        <v>0</v>
      </c>
      <c r="J67" s="17">
        <v>0</v>
      </c>
      <c r="K67" s="31">
        <f t="shared" si="8"/>
        <v>0</v>
      </c>
      <c r="L67" s="37"/>
    </row>
    <row r="68" spans="2:12" ht="15.75" x14ac:dyDescent="0.2">
      <c r="B68" s="15">
        <v>5.2</v>
      </c>
      <c r="C68" s="16" t="s">
        <v>77</v>
      </c>
      <c r="D68" s="31">
        <f>D69+D70+D71+D72</f>
        <v>29486.842990000001</v>
      </c>
      <c r="E68" s="31"/>
      <c r="F68" s="17">
        <v>0</v>
      </c>
      <c r="G68" s="17"/>
      <c r="H68" s="17">
        <v>26977.06</v>
      </c>
      <c r="I68" s="17">
        <f>I69+I70+I71+I72+I73</f>
        <v>0</v>
      </c>
      <c r="J68" s="17">
        <v>0</v>
      </c>
      <c r="K68" s="31">
        <f t="shared" si="8"/>
        <v>29486.842990000001</v>
      </c>
      <c r="L68" s="35"/>
    </row>
    <row r="69" spans="2:12" ht="31.5" x14ac:dyDescent="0.2">
      <c r="B69" s="19" t="s">
        <v>78</v>
      </c>
      <c r="C69" s="16" t="s">
        <v>79</v>
      </c>
      <c r="D69" s="17">
        <v>0</v>
      </c>
      <c r="E69" s="17"/>
      <c r="F69" s="17">
        <v>0</v>
      </c>
      <c r="G69" s="17"/>
      <c r="H69" s="17">
        <v>0</v>
      </c>
      <c r="I69" s="17">
        <f>D69*0.21</f>
        <v>0</v>
      </c>
      <c r="J69" s="17">
        <v>0</v>
      </c>
      <c r="K69" s="31">
        <f t="shared" si="8"/>
        <v>0</v>
      </c>
      <c r="L69" s="18"/>
    </row>
    <row r="70" spans="2:12" ht="31.5" x14ac:dyDescent="0.2">
      <c r="B70" s="19" t="s">
        <v>80</v>
      </c>
      <c r="C70" s="16" t="s">
        <v>81</v>
      </c>
      <c r="D70" s="31">
        <f>D88*0.005</f>
        <v>13403.11045</v>
      </c>
      <c r="E70" s="31"/>
      <c r="F70" s="17">
        <v>0</v>
      </c>
      <c r="G70" s="17"/>
      <c r="H70" s="17">
        <v>12262.3</v>
      </c>
      <c r="I70" s="17">
        <v>0</v>
      </c>
      <c r="J70" s="17">
        <v>0</v>
      </c>
      <c r="K70" s="31">
        <f t="shared" si="8"/>
        <v>13403.11045</v>
      </c>
      <c r="L70" s="35"/>
    </row>
    <row r="71" spans="2:12" ht="47.25" x14ac:dyDescent="0.2">
      <c r="B71" s="19" t="s">
        <v>82</v>
      </c>
      <c r="C71" s="16" t="s">
        <v>83</v>
      </c>
      <c r="D71" s="31">
        <f>D88*0.001</f>
        <v>2680.6220899999998</v>
      </c>
      <c r="E71" s="17"/>
      <c r="F71" s="17">
        <v>0</v>
      </c>
      <c r="G71" s="17"/>
      <c r="H71" s="17">
        <v>2452.46</v>
      </c>
      <c r="I71" s="17">
        <v>0</v>
      </c>
      <c r="J71" s="17">
        <v>0</v>
      </c>
      <c r="K71" s="31">
        <f t="shared" si="8"/>
        <v>2680.6220899999998</v>
      </c>
      <c r="L71" s="18"/>
    </row>
    <row r="72" spans="2:12" ht="31.5" x14ac:dyDescent="0.2">
      <c r="B72" s="19" t="s">
        <v>84</v>
      </c>
      <c r="C72" s="16" t="s">
        <v>85</v>
      </c>
      <c r="D72" s="31">
        <f>D88*0.005</f>
        <v>13403.11045</v>
      </c>
      <c r="E72" s="31"/>
      <c r="F72" s="17">
        <v>0</v>
      </c>
      <c r="G72" s="17"/>
      <c r="H72" s="17">
        <v>12262.3</v>
      </c>
      <c r="I72" s="17">
        <v>0</v>
      </c>
      <c r="J72" s="17">
        <v>0</v>
      </c>
      <c r="K72" s="31">
        <f t="shared" si="8"/>
        <v>13403.11045</v>
      </c>
      <c r="L72" s="35"/>
    </row>
    <row r="73" spans="2:12" ht="31.5" x14ac:dyDescent="0.2">
      <c r="B73" s="19" t="s">
        <v>86</v>
      </c>
      <c r="C73" s="16" t="s">
        <v>87</v>
      </c>
      <c r="D73" s="17">
        <v>0</v>
      </c>
      <c r="E73" s="17"/>
      <c r="F73" s="17">
        <v>0</v>
      </c>
      <c r="G73" s="17"/>
      <c r="H73" s="17">
        <v>0</v>
      </c>
      <c r="I73" s="17">
        <f>D73*0.21</f>
        <v>0</v>
      </c>
      <c r="J73" s="17">
        <v>0</v>
      </c>
      <c r="K73" s="31">
        <f t="shared" si="8"/>
        <v>0</v>
      </c>
      <c r="L73" s="18"/>
    </row>
    <row r="74" spans="2:12" ht="15.75" x14ac:dyDescent="0.2">
      <c r="B74" s="15">
        <v>5.3</v>
      </c>
      <c r="C74" s="16" t="s">
        <v>88</v>
      </c>
      <c r="D74" s="31">
        <v>301798.12</v>
      </c>
      <c r="E74" s="31"/>
      <c r="F74" s="17">
        <v>0</v>
      </c>
      <c r="G74" s="17"/>
      <c r="H74" s="17">
        <v>242302.81</v>
      </c>
      <c r="I74" s="17">
        <v>0</v>
      </c>
      <c r="J74" s="17">
        <f>304798.12*0.21</f>
        <v>64007.605199999998</v>
      </c>
      <c r="K74" s="31">
        <f>D74+F74+I74+J74</f>
        <v>365805.72519999999</v>
      </c>
      <c r="L74" s="35"/>
    </row>
    <row r="75" spans="2:12" ht="15.75" x14ac:dyDescent="0.2">
      <c r="B75" s="145">
        <v>5.4</v>
      </c>
      <c r="C75" s="146" t="s">
        <v>89</v>
      </c>
      <c r="D75" s="31">
        <v>2000</v>
      </c>
      <c r="E75" s="17"/>
      <c r="F75" s="17">
        <v>0</v>
      </c>
      <c r="G75" s="17"/>
      <c r="H75" s="17">
        <v>2000</v>
      </c>
      <c r="I75" s="17">
        <f>I76+J77</f>
        <v>416.47899999999998</v>
      </c>
      <c r="J75" s="17">
        <v>0</v>
      </c>
      <c r="K75" s="31">
        <f t="shared" si="8"/>
        <v>2416.4789999999998</v>
      </c>
      <c r="L75" s="18"/>
    </row>
    <row r="76" spans="2:12" ht="31.5" x14ac:dyDescent="0.2">
      <c r="B76" s="147" t="s">
        <v>115</v>
      </c>
      <c r="C76" s="146" t="s">
        <v>117</v>
      </c>
      <c r="D76" s="144">
        <v>176.05</v>
      </c>
      <c r="E76" s="17"/>
      <c r="F76" s="17">
        <v>0</v>
      </c>
      <c r="G76" s="17"/>
      <c r="H76" s="17"/>
      <c r="I76" s="17">
        <f>D76*0.19</f>
        <v>33.4495</v>
      </c>
      <c r="J76" s="17">
        <v>0</v>
      </c>
      <c r="K76" s="31">
        <f>D76+F76+I76</f>
        <v>209.49950000000001</v>
      </c>
      <c r="L76" s="18"/>
    </row>
    <row r="77" spans="2:12" ht="31.5" x14ac:dyDescent="0.2">
      <c r="B77" s="147" t="s">
        <v>116</v>
      </c>
      <c r="C77" s="148" t="s">
        <v>121</v>
      </c>
      <c r="D77" s="144">
        <v>1823.95</v>
      </c>
      <c r="E77" s="17"/>
      <c r="F77" s="17">
        <v>0</v>
      </c>
      <c r="G77" s="17"/>
      <c r="H77" s="17"/>
      <c r="I77" s="17">
        <v>0</v>
      </c>
      <c r="J77" s="17">
        <f>D77*0.21</f>
        <v>383.02949999999998</v>
      </c>
      <c r="K77" s="31">
        <f>D77+F77+I77+J77</f>
        <v>2206.9794999999999</v>
      </c>
      <c r="L77" s="18"/>
    </row>
    <row r="78" spans="2:12" s="149" customFormat="1" ht="15.75" x14ac:dyDescent="0.2">
      <c r="B78" s="187" t="s">
        <v>90</v>
      </c>
      <c r="C78" s="188"/>
      <c r="D78" s="88">
        <f>D65+D68+D74+D75</f>
        <v>333284.96298999997</v>
      </c>
      <c r="E78" s="88"/>
      <c r="F78" s="26">
        <v>0</v>
      </c>
      <c r="G78" s="26"/>
      <c r="H78" s="26">
        <f>H65+H68+H74+H75</f>
        <v>331279.87</v>
      </c>
      <c r="I78" s="26">
        <f>I65+I68+I74+I76</f>
        <v>33.4495</v>
      </c>
      <c r="J78" s="26">
        <f>J77+J74</f>
        <v>64390.634699999995</v>
      </c>
      <c r="K78" s="88">
        <f>K65+K68+K74+K75</f>
        <v>397709.04718999995</v>
      </c>
      <c r="L78" s="38"/>
    </row>
    <row r="79" spans="2:12" ht="15.75" x14ac:dyDescent="0.2">
      <c r="B79" s="164" t="s">
        <v>105</v>
      </c>
      <c r="C79" s="165"/>
      <c r="D79" s="165"/>
      <c r="E79" s="165"/>
      <c r="F79" s="165"/>
      <c r="G79" s="165"/>
      <c r="H79" s="165"/>
      <c r="I79" s="165"/>
      <c r="J79" s="165"/>
      <c r="K79" s="165"/>
      <c r="L79" s="166"/>
    </row>
    <row r="80" spans="2:12" ht="15.75" x14ac:dyDescent="0.2">
      <c r="B80" s="15">
        <v>6.1</v>
      </c>
      <c r="C80" s="16" t="s">
        <v>91</v>
      </c>
      <c r="D80" s="17">
        <v>0</v>
      </c>
      <c r="E80" s="17">
        <v>0</v>
      </c>
      <c r="F80" s="17">
        <v>0</v>
      </c>
      <c r="G80" s="17">
        <v>0</v>
      </c>
      <c r="H80" s="17"/>
      <c r="I80" s="17">
        <v>0</v>
      </c>
      <c r="J80" s="17">
        <v>0</v>
      </c>
      <c r="K80" s="17">
        <v>0</v>
      </c>
      <c r="L80" s="18">
        <v>0</v>
      </c>
    </row>
    <row r="81" spans="2:12" ht="15.75" x14ac:dyDescent="0.2">
      <c r="B81" s="15">
        <v>6.2</v>
      </c>
      <c r="C81" s="16" t="s">
        <v>92</v>
      </c>
      <c r="D81" s="17">
        <v>0</v>
      </c>
      <c r="E81" s="17">
        <v>0</v>
      </c>
      <c r="F81" s="17">
        <v>0</v>
      </c>
      <c r="G81" s="17">
        <v>0</v>
      </c>
      <c r="H81" s="17"/>
      <c r="I81" s="17">
        <v>0</v>
      </c>
      <c r="J81" s="17">
        <v>0</v>
      </c>
      <c r="K81" s="17">
        <v>0</v>
      </c>
      <c r="L81" s="18">
        <v>0</v>
      </c>
    </row>
    <row r="82" spans="2:12" ht="15.75" x14ac:dyDescent="0.2">
      <c r="B82" s="167" t="s">
        <v>93</v>
      </c>
      <c r="C82" s="168"/>
      <c r="D82" s="26">
        <v>0</v>
      </c>
      <c r="E82" s="26">
        <v>0</v>
      </c>
      <c r="F82" s="26">
        <v>0</v>
      </c>
      <c r="G82" s="26">
        <v>0</v>
      </c>
      <c r="H82" s="26"/>
      <c r="I82" s="26">
        <v>0</v>
      </c>
      <c r="J82" s="26">
        <v>0</v>
      </c>
      <c r="K82" s="26">
        <v>0</v>
      </c>
      <c r="L82" s="27">
        <v>0</v>
      </c>
    </row>
    <row r="83" spans="2:12" ht="15.75" x14ac:dyDescent="0.2">
      <c r="B83" s="164" t="s">
        <v>106</v>
      </c>
      <c r="C83" s="165"/>
      <c r="D83" s="165"/>
      <c r="E83" s="165"/>
      <c r="F83" s="165"/>
      <c r="G83" s="165"/>
      <c r="H83" s="165"/>
      <c r="I83" s="165"/>
      <c r="J83" s="165"/>
      <c r="K83" s="165"/>
      <c r="L83" s="166"/>
    </row>
    <row r="84" spans="2:12" ht="15.75" x14ac:dyDescent="0.2">
      <c r="B84" s="15">
        <v>7.1</v>
      </c>
      <c r="C84" s="16" t="s">
        <v>94</v>
      </c>
      <c r="D84" s="17">
        <v>0</v>
      </c>
      <c r="E84" s="17">
        <v>0</v>
      </c>
      <c r="F84" s="31">
        <v>0</v>
      </c>
      <c r="G84" s="31">
        <v>60758.96</v>
      </c>
      <c r="H84" s="31">
        <v>60758.96</v>
      </c>
      <c r="I84" s="17">
        <v>0</v>
      </c>
      <c r="J84" s="17"/>
      <c r="K84" s="31">
        <f t="shared" ref="K84" si="9">D84+F84+I84</f>
        <v>0</v>
      </c>
      <c r="L84" s="35"/>
    </row>
    <row r="85" spans="2:12" ht="31.5" x14ac:dyDescent="0.2">
      <c r="B85" s="15">
        <v>7.2</v>
      </c>
      <c r="C85" s="16" t="s">
        <v>95</v>
      </c>
      <c r="D85" s="17">
        <v>0</v>
      </c>
      <c r="E85" s="17">
        <v>0</v>
      </c>
      <c r="F85" s="31">
        <v>137992.24</v>
      </c>
      <c r="G85" s="31">
        <v>88900.28</v>
      </c>
      <c r="H85" s="31">
        <v>88900.28</v>
      </c>
      <c r="I85" s="17">
        <v>0</v>
      </c>
      <c r="J85" s="17">
        <f>F85*0.21</f>
        <v>28978.370399999996</v>
      </c>
      <c r="K85" s="31">
        <f>D85+F85+I85+J85</f>
        <v>166970.61039999998</v>
      </c>
      <c r="L85" s="35"/>
    </row>
    <row r="86" spans="2:12" ht="15.75" x14ac:dyDescent="0.2">
      <c r="B86" s="167" t="s">
        <v>96</v>
      </c>
      <c r="C86" s="168"/>
      <c r="D86" s="26">
        <f>D84+D85</f>
        <v>0</v>
      </c>
      <c r="E86" s="26">
        <v>0</v>
      </c>
      <c r="F86" s="26">
        <f>F84+F85</f>
        <v>137992.24</v>
      </c>
      <c r="G86" s="26">
        <f t="shared" ref="G86:H86" si="10">G84+G85</f>
        <v>149659.24</v>
      </c>
      <c r="H86" s="26">
        <f t="shared" si="10"/>
        <v>149659.24</v>
      </c>
      <c r="I86" s="26">
        <f>I84+I85</f>
        <v>0</v>
      </c>
      <c r="J86" s="17">
        <f>F86*0.21</f>
        <v>28978.370399999996</v>
      </c>
      <c r="K86" s="17">
        <f>D86+F86+I86+J86</f>
        <v>166970.61039999998</v>
      </c>
      <c r="L86" s="38"/>
    </row>
    <row r="87" spans="2:12" ht="15.75" x14ac:dyDescent="0.2">
      <c r="B87" s="185" t="s">
        <v>98</v>
      </c>
      <c r="C87" s="186"/>
      <c r="D87" s="89">
        <f>D18+D21+D49+D63+D78+D82+D86</f>
        <v>3110330.4096566662</v>
      </c>
      <c r="E87" s="89">
        <f>E18+E21+E49+E63+E78+E82+E86</f>
        <v>0</v>
      </c>
      <c r="F87" s="89">
        <f>F18+F21+F49+F63+F78+F82+F86</f>
        <v>148825.56999999998</v>
      </c>
      <c r="G87" s="89">
        <f>G18+G21+G49+G63+G78+G82+G86</f>
        <v>149659.24</v>
      </c>
      <c r="H87" s="89">
        <f>H18+H21+H49+H63+H78+H82+H86</f>
        <v>3296604.0200000005</v>
      </c>
      <c r="I87" s="89">
        <f>I18+I21+I49+I63+I78+I82+I86</f>
        <v>11037.300766666664</v>
      </c>
      <c r="J87" s="89">
        <f>J18+J21+J49+J78+J86</f>
        <v>100370.7579</v>
      </c>
      <c r="K87" s="90">
        <f>D87+F87+I87+J87</f>
        <v>3370564.038323333</v>
      </c>
      <c r="L87" s="91"/>
    </row>
    <row r="88" spans="2:12" ht="15.75" x14ac:dyDescent="0.2">
      <c r="B88" s="167" t="s">
        <v>97</v>
      </c>
      <c r="C88" s="168"/>
      <c r="D88" s="26">
        <f>D18+D21+D51+D56+D66</f>
        <v>2680622.09</v>
      </c>
      <c r="E88" s="26">
        <f>E18+E21+E51+E56+E66</f>
        <v>0</v>
      </c>
      <c r="F88" s="26">
        <f>F18+F21+F51+F56+F66</f>
        <v>0</v>
      </c>
      <c r="G88" s="26">
        <f>G18+G21+G51+G56+G66</f>
        <v>0</v>
      </c>
      <c r="H88" s="26">
        <f>H18+H21+H51+H56+H66</f>
        <v>2698850.73</v>
      </c>
      <c r="I88" s="26">
        <v>0</v>
      </c>
      <c r="J88" s="26">
        <f>D88*0.21</f>
        <v>562930.6388999999</v>
      </c>
      <c r="K88" s="26">
        <f>D88+F88+I88+J88</f>
        <v>3243552.7288999995</v>
      </c>
      <c r="L88" s="38"/>
    </row>
    <row r="89" spans="2:12" x14ac:dyDescent="0.2">
      <c r="B89" s="10"/>
      <c r="C89" s="10"/>
      <c r="D89" s="11"/>
      <c r="E89" s="11"/>
      <c r="F89" s="11"/>
      <c r="G89" s="11"/>
      <c r="H89" s="11"/>
      <c r="I89" s="11"/>
      <c r="J89" s="11"/>
      <c r="K89" s="11"/>
      <c r="L89" s="12"/>
    </row>
    <row r="90" spans="2:12" x14ac:dyDescent="0.2">
      <c r="B90" s="3"/>
      <c r="C90" s="3"/>
      <c r="D90" s="4"/>
      <c r="E90" s="4"/>
      <c r="F90" s="4"/>
      <c r="G90" s="4"/>
      <c r="H90" s="4"/>
      <c r="I90" s="4"/>
      <c r="J90" s="4"/>
      <c r="K90" s="4"/>
      <c r="L90" s="5"/>
    </row>
    <row r="91" spans="2:12" x14ac:dyDescent="0.2">
      <c r="B91" s="3"/>
      <c r="C91" s="3"/>
      <c r="D91" s="4"/>
      <c r="E91" s="4"/>
      <c r="F91" s="4"/>
      <c r="G91" s="4"/>
      <c r="H91" s="4"/>
      <c r="I91" s="4"/>
      <c r="J91" s="4"/>
      <c r="K91" s="4"/>
      <c r="L91" s="5"/>
    </row>
    <row r="92" spans="2:12" s="39" customFormat="1" ht="15.75" x14ac:dyDescent="0.25">
      <c r="B92" s="173"/>
      <c r="C92" s="173"/>
      <c r="D92" s="173"/>
      <c r="E92" s="173"/>
      <c r="F92" s="173"/>
      <c r="G92" s="173"/>
      <c r="H92" s="173"/>
      <c r="I92" s="173"/>
      <c r="J92" s="173"/>
      <c r="K92" s="173"/>
      <c r="L92" s="173"/>
    </row>
    <row r="93" spans="2:12" ht="15.75" x14ac:dyDescent="0.25">
      <c r="B93" s="2"/>
      <c r="C93" s="163" t="s">
        <v>148</v>
      </c>
      <c r="D93" s="205"/>
      <c r="E93" s="205"/>
      <c r="F93" s="205"/>
      <c r="G93" s="205"/>
      <c r="H93" s="205"/>
      <c r="I93" s="205" t="s">
        <v>134</v>
      </c>
      <c r="J93" s="205"/>
      <c r="K93" s="2"/>
      <c r="L93" s="2"/>
    </row>
    <row r="94" spans="2:12" ht="15.75" x14ac:dyDescent="0.2">
      <c r="C94" s="207" t="s">
        <v>147</v>
      </c>
      <c r="D94" s="85"/>
      <c r="E94" s="85"/>
      <c r="F94" s="208" t="s">
        <v>149</v>
      </c>
      <c r="G94" s="208"/>
      <c r="H94" s="208"/>
      <c r="I94" s="208"/>
      <c r="J94" s="208"/>
    </row>
  </sheetData>
  <mergeCells count="25">
    <mergeCell ref="F94:J94"/>
    <mergeCell ref="I9:J9"/>
    <mergeCell ref="B92:L92"/>
    <mergeCell ref="B8:L8"/>
    <mergeCell ref="B9:B10"/>
    <mergeCell ref="C9:C10"/>
    <mergeCell ref="D9:E9"/>
    <mergeCell ref="F9:G9"/>
    <mergeCell ref="K9:L9"/>
    <mergeCell ref="B13:L13"/>
    <mergeCell ref="B18:C18"/>
    <mergeCell ref="B20:L20"/>
    <mergeCell ref="B21:C21"/>
    <mergeCell ref="B22:L22"/>
    <mergeCell ref="B63:C63"/>
    <mergeCell ref="B64:L64"/>
    <mergeCell ref="B49:C49"/>
    <mergeCell ref="B50:L50"/>
    <mergeCell ref="B87:C87"/>
    <mergeCell ref="B88:C88"/>
    <mergeCell ref="B78:C78"/>
    <mergeCell ref="B79:L79"/>
    <mergeCell ref="B82:C82"/>
    <mergeCell ref="B83:L83"/>
    <mergeCell ref="B86:C8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284C9-4A78-4EE4-A916-E0DAECB84C96}">
  <sheetPr>
    <tabColor rgb="FF92D050"/>
    <pageSetUpPr fitToPage="1"/>
  </sheetPr>
  <dimension ref="A4:N96"/>
  <sheetViews>
    <sheetView zoomScale="80" zoomScaleNormal="80" workbookViewId="0">
      <selection activeCell="E92" sqref="E92:L93"/>
    </sheetView>
  </sheetViews>
  <sheetFormatPr defaultRowHeight="12.75" x14ac:dyDescent="0.2"/>
  <cols>
    <col min="2" max="2" width="9.33203125" customWidth="1"/>
    <col min="4" max="4" width="9.33203125" style="55"/>
    <col min="5" max="5" width="52.83203125" customWidth="1"/>
    <col min="6" max="6" width="19.83203125" customWidth="1"/>
    <col min="7" max="7" width="0" hidden="1" customWidth="1"/>
    <col min="8" max="8" width="19.33203125" customWidth="1"/>
    <col min="9" max="10" width="0" hidden="1" customWidth="1"/>
    <col min="11" max="12" width="17.1640625" customWidth="1"/>
    <col min="13" max="13" width="17.83203125" customWidth="1"/>
    <col min="14" max="14" width="0" hidden="1" customWidth="1"/>
  </cols>
  <sheetData>
    <row r="4" spans="3:14" ht="15.75" customHeight="1" x14ac:dyDescent="0.2">
      <c r="C4" s="7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3:14" ht="15.75" customHeight="1" x14ac:dyDescent="0.2">
      <c r="C5" s="7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</row>
    <row r="6" spans="3:14" ht="15.75" customHeight="1" x14ac:dyDescent="0.2">
      <c r="C6" s="7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7" spans="3:14" ht="92.25" customHeight="1" x14ac:dyDescent="0.2">
      <c r="C7" s="7"/>
      <c r="D7" s="203" t="s">
        <v>136</v>
      </c>
      <c r="E7" s="204"/>
      <c r="F7" s="204"/>
      <c r="G7" s="204"/>
      <c r="H7" s="204"/>
      <c r="I7" s="204"/>
      <c r="J7" s="204"/>
      <c r="K7" s="204"/>
      <c r="L7" s="204"/>
      <c r="M7" s="204"/>
      <c r="N7" s="204"/>
    </row>
    <row r="8" spans="3:14" ht="35.25" customHeight="1" x14ac:dyDescent="0.2">
      <c r="C8" s="7"/>
      <c r="D8" s="177" t="s">
        <v>0</v>
      </c>
      <c r="E8" s="179" t="s">
        <v>1</v>
      </c>
      <c r="F8" s="181" t="s">
        <v>2</v>
      </c>
      <c r="G8" s="182"/>
      <c r="H8" s="181" t="s">
        <v>3</v>
      </c>
      <c r="I8" s="182"/>
      <c r="J8" s="129" t="s">
        <v>100</v>
      </c>
      <c r="K8" s="183" t="s">
        <v>4</v>
      </c>
      <c r="L8" s="183"/>
      <c r="M8" s="183" t="s">
        <v>5</v>
      </c>
      <c r="N8" s="183"/>
    </row>
    <row r="9" spans="3:14" ht="15.75" customHeight="1" x14ac:dyDescent="0.2">
      <c r="C9" s="7"/>
      <c r="D9" s="178"/>
      <c r="E9" s="180"/>
      <c r="F9" s="44" t="s">
        <v>6</v>
      </c>
      <c r="G9" s="44" t="s">
        <v>7</v>
      </c>
      <c r="H9" s="44" t="s">
        <v>6</v>
      </c>
      <c r="I9" s="44" t="s">
        <v>7</v>
      </c>
      <c r="J9" s="44" t="s">
        <v>6</v>
      </c>
      <c r="K9" s="135" t="s">
        <v>122</v>
      </c>
      <c r="L9" s="136" t="s">
        <v>112</v>
      </c>
      <c r="M9" s="132" t="s">
        <v>6</v>
      </c>
      <c r="N9" s="84" t="s">
        <v>7</v>
      </c>
    </row>
    <row r="10" spans="3:14" ht="15.75" x14ac:dyDescent="0.2">
      <c r="C10" s="7"/>
      <c r="D10" s="45">
        <v>1</v>
      </c>
      <c r="E10" s="46">
        <v>2</v>
      </c>
      <c r="F10" s="46">
        <v>3</v>
      </c>
      <c r="G10" s="46">
        <v>4</v>
      </c>
      <c r="H10" s="46">
        <v>4</v>
      </c>
      <c r="I10" s="46">
        <v>6</v>
      </c>
      <c r="J10" s="46">
        <v>5</v>
      </c>
      <c r="K10" s="46">
        <v>5</v>
      </c>
      <c r="L10" s="134">
        <v>6</v>
      </c>
      <c r="M10" s="46">
        <v>7</v>
      </c>
      <c r="N10" s="47">
        <v>9</v>
      </c>
    </row>
    <row r="11" spans="3:14" ht="15.75" customHeight="1" x14ac:dyDescent="0.25">
      <c r="C11" s="7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</row>
    <row r="12" spans="3:14" ht="15.75" customHeight="1" x14ac:dyDescent="0.2">
      <c r="C12" s="7"/>
      <c r="D12" s="174" t="s">
        <v>107</v>
      </c>
      <c r="E12" s="175"/>
      <c r="F12" s="175"/>
      <c r="G12" s="175"/>
      <c r="H12" s="175"/>
      <c r="I12" s="175"/>
      <c r="J12" s="175"/>
      <c r="K12" s="175"/>
      <c r="L12" s="175"/>
      <c r="M12" s="175"/>
      <c r="N12" s="176"/>
    </row>
    <row r="13" spans="3:14" ht="15.75" customHeight="1" x14ac:dyDescent="0.2">
      <c r="C13" s="7"/>
      <c r="D13" s="49">
        <v>1.1000000000000001</v>
      </c>
      <c r="E13" s="50" t="s">
        <v>8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1">
        <v>0</v>
      </c>
      <c r="M13" s="51">
        <v>0</v>
      </c>
      <c r="N13" s="52">
        <v>0</v>
      </c>
    </row>
    <row r="14" spans="3:14" ht="15.75" x14ac:dyDescent="0.2">
      <c r="C14" s="7"/>
      <c r="D14" s="49">
        <v>1.2</v>
      </c>
      <c r="E14" s="50" t="s">
        <v>9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  <c r="M14" s="51">
        <v>0</v>
      </c>
      <c r="N14" s="52">
        <v>0</v>
      </c>
    </row>
    <row r="15" spans="3:14" ht="31.5" x14ac:dyDescent="0.2">
      <c r="C15" s="7"/>
      <c r="D15" s="49">
        <v>1.3</v>
      </c>
      <c r="E15" s="50" t="s">
        <v>10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  <c r="M15" s="51">
        <v>0</v>
      </c>
      <c r="N15" s="52">
        <v>0</v>
      </c>
    </row>
    <row r="16" spans="3:14" ht="15.75" x14ac:dyDescent="0.2">
      <c r="C16" s="7"/>
      <c r="D16" s="49">
        <v>1.4</v>
      </c>
      <c r="E16" s="50" t="s">
        <v>11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0</v>
      </c>
      <c r="N16" s="52">
        <v>0</v>
      </c>
    </row>
    <row r="17" spans="3:14" ht="15.75" customHeight="1" x14ac:dyDescent="0.2">
      <c r="C17" s="7"/>
      <c r="D17" s="171" t="s">
        <v>12</v>
      </c>
      <c r="E17" s="172"/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4">
        <v>0</v>
      </c>
    </row>
    <row r="18" spans="3:14" ht="15.75" customHeight="1" x14ac:dyDescent="0.25">
      <c r="C18" s="7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</row>
    <row r="19" spans="3:14" ht="15.75" customHeight="1" x14ac:dyDescent="0.2">
      <c r="C19" s="7"/>
      <c r="D19" s="174" t="s">
        <v>102</v>
      </c>
      <c r="E19" s="175"/>
      <c r="F19" s="175"/>
      <c r="G19" s="175"/>
      <c r="H19" s="175"/>
      <c r="I19" s="175"/>
      <c r="J19" s="175"/>
      <c r="K19" s="175"/>
      <c r="L19" s="175"/>
      <c r="M19" s="175"/>
      <c r="N19" s="176"/>
    </row>
    <row r="20" spans="3:14" ht="15.75" customHeight="1" x14ac:dyDescent="0.2">
      <c r="C20" s="7"/>
      <c r="D20" s="171" t="s">
        <v>13</v>
      </c>
      <c r="E20" s="172"/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4">
        <v>0</v>
      </c>
    </row>
    <row r="21" spans="3:14" ht="15.75" customHeight="1" x14ac:dyDescent="0.2">
      <c r="C21" s="7"/>
      <c r="D21" s="195" t="s">
        <v>130</v>
      </c>
      <c r="E21" s="196"/>
      <c r="F21" s="196"/>
      <c r="G21" s="196"/>
      <c r="H21" s="196"/>
      <c r="I21" s="196"/>
      <c r="J21" s="196"/>
      <c r="K21" s="196"/>
      <c r="L21" s="196"/>
      <c r="M21" s="196"/>
      <c r="N21" s="197"/>
    </row>
    <row r="22" spans="3:14" ht="15.75" x14ac:dyDescent="0.2">
      <c r="C22" s="7"/>
      <c r="D22" s="15">
        <v>3.1</v>
      </c>
      <c r="E22" s="16" t="s">
        <v>14</v>
      </c>
      <c r="F22" s="17">
        <v>1666.67</v>
      </c>
      <c r="G22" s="17"/>
      <c r="H22" s="17">
        <v>0</v>
      </c>
      <c r="I22" s="17">
        <v>0</v>
      </c>
      <c r="J22" s="17">
        <v>1666.67</v>
      </c>
      <c r="K22" s="17">
        <f t="shared" ref="K22:K27" si="0">F22*0.19</f>
        <v>316.66730000000001</v>
      </c>
      <c r="L22" s="17">
        <v>0</v>
      </c>
      <c r="M22" s="17">
        <f t="shared" ref="M22:M27" si="1">F22+H22+K22</f>
        <v>1983.3373000000001</v>
      </c>
      <c r="N22" s="18"/>
    </row>
    <row r="23" spans="3:14" ht="15.75" x14ac:dyDescent="0.2">
      <c r="C23" s="7"/>
      <c r="D23" s="19" t="s">
        <v>15</v>
      </c>
      <c r="E23" s="16" t="s">
        <v>16</v>
      </c>
      <c r="F23" s="17">
        <v>1666.67</v>
      </c>
      <c r="G23" s="17"/>
      <c r="H23" s="17">
        <v>0</v>
      </c>
      <c r="I23" s="17">
        <v>0</v>
      </c>
      <c r="J23" s="17">
        <v>1666.67</v>
      </c>
      <c r="K23" s="17">
        <f t="shared" si="0"/>
        <v>316.66730000000001</v>
      </c>
      <c r="L23" s="17">
        <v>0</v>
      </c>
      <c r="M23" s="17">
        <f t="shared" si="1"/>
        <v>1983.3373000000001</v>
      </c>
      <c r="N23" s="18"/>
    </row>
    <row r="24" spans="3:14" ht="15.75" x14ac:dyDescent="0.2">
      <c r="C24" s="7"/>
      <c r="D24" s="19" t="s">
        <v>17</v>
      </c>
      <c r="E24" s="16" t="s">
        <v>18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f t="shared" si="0"/>
        <v>0</v>
      </c>
      <c r="L24" s="17">
        <v>0</v>
      </c>
      <c r="M24" s="17">
        <f t="shared" si="1"/>
        <v>0</v>
      </c>
      <c r="N24" s="18">
        <v>0</v>
      </c>
    </row>
    <row r="25" spans="3:14" ht="15.75" x14ac:dyDescent="0.2">
      <c r="C25" s="7"/>
      <c r="D25" s="19" t="s">
        <v>19</v>
      </c>
      <c r="E25" s="16" t="s">
        <v>20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f t="shared" si="0"/>
        <v>0</v>
      </c>
      <c r="L25" s="17">
        <v>0</v>
      </c>
      <c r="M25" s="17">
        <f t="shared" si="1"/>
        <v>0</v>
      </c>
      <c r="N25" s="18">
        <v>0</v>
      </c>
    </row>
    <row r="26" spans="3:14" ht="31.5" x14ac:dyDescent="0.2">
      <c r="C26" s="7"/>
      <c r="D26" s="20">
        <v>3.2</v>
      </c>
      <c r="E26" s="21" t="s">
        <v>21</v>
      </c>
      <c r="F26" s="22">
        <v>166.66666666666666</v>
      </c>
      <c r="G26" s="22"/>
      <c r="H26" s="22">
        <v>0</v>
      </c>
      <c r="I26" s="22">
        <v>0</v>
      </c>
      <c r="J26" s="23">
        <v>166.67</v>
      </c>
      <c r="K26" s="17">
        <f t="shared" si="0"/>
        <v>31.666666666666664</v>
      </c>
      <c r="L26" s="17">
        <v>0</v>
      </c>
      <c r="M26" s="17">
        <f t="shared" si="1"/>
        <v>198.33333333333331</v>
      </c>
      <c r="N26" s="24"/>
    </row>
    <row r="27" spans="3:14" ht="15.75" x14ac:dyDescent="0.2">
      <c r="C27" s="7"/>
      <c r="D27" s="15">
        <v>3.3</v>
      </c>
      <c r="E27" s="16" t="s">
        <v>22</v>
      </c>
      <c r="F27" s="17">
        <v>1250</v>
      </c>
      <c r="G27" s="17"/>
      <c r="H27" s="17">
        <v>0</v>
      </c>
      <c r="I27" s="17">
        <v>0</v>
      </c>
      <c r="J27" s="17">
        <v>1250</v>
      </c>
      <c r="K27" s="17">
        <f t="shared" si="0"/>
        <v>237.5</v>
      </c>
      <c r="L27" s="17">
        <v>0</v>
      </c>
      <c r="M27" s="17">
        <f t="shared" si="1"/>
        <v>1487.5</v>
      </c>
      <c r="N27" s="18"/>
    </row>
    <row r="28" spans="3:14" ht="31.5" x14ac:dyDescent="0.2">
      <c r="C28" s="7"/>
      <c r="D28" s="15">
        <v>3.4</v>
      </c>
      <c r="E28" s="16" t="s">
        <v>23</v>
      </c>
      <c r="F28" s="17">
        <f>F29+F30</f>
        <v>4666.67</v>
      </c>
      <c r="G28" s="17"/>
      <c r="H28" s="17">
        <v>0</v>
      </c>
      <c r="I28" s="17">
        <v>0</v>
      </c>
      <c r="J28" s="17">
        <v>2000</v>
      </c>
      <c r="K28" s="17">
        <f>K29+L30</f>
        <v>966.66729999999995</v>
      </c>
      <c r="L28" s="17"/>
      <c r="M28" s="17">
        <f>M29+M30</f>
        <v>5633.3373000000001</v>
      </c>
      <c r="N28" s="18"/>
    </row>
    <row r="29" spans="3:14" ht="31.5" x14ac:dyDescent="0.2">
      <c r="C29" s="7"/>
      <c r="D29" s="15" t="s">
        <v>113</v>
      </c>
      <c r="E29" s="16" t="s">
        <v>119</v>
      </c>
      <c r="F29" s="17">
        <v>666.67</v>
      </c>
      <c r="G29" s="17"/>
      <c r="H29" s="17">
        <v>0</v>
      </c>
      <c r="I29" s="17"/>
      <c r="J29" s="17"/>
      <c r="K29" s="17">
        <f>F29*0.19</f>
        <v>126.6673</v>
      </c>
      <c r="L29" s="17">
        <v>0</v>
      </c>
      <c r="M29" s="17">
        <f>F29+H29+K29</f>
        <v>793.33729999999991</v>
      </c>
      <c r="N29" s="18"/>
    </row>
    <row r="30" spans="3:14" ht="31.5" x14ac:dyDescent="0.2">
      <c r="C30" s="7"/>
      <c r="D30" s="15" t="s">
        <v>114</v>
      </c>
      <c r="E30" s="16" t="s">
        <v>120</v>
      </c>
      <c r="F30" s="17">
        <v>4000</v>
      </c>
      <c r="G30" s="17"/>
      <c r="H30" s="17">
        <v>0</v>
      </c>
      <c r="I30" s="17"/>
      <c r="J30" s="17"/>
      <c r="K30" s="17">
        <v>0</v>
      </c>
      <c r="L30" s="17">
        <f>F30*0.21</f>
        <v>840</v>
      </c>
      <c r="M30" s="17">
        <f>+F30+H30+K30+L30</f>
        <v>4840</v>
      </c>
      <c r="N30" s="18"/>
    </row>
    <row r="31" spans="3:14" ht="15.75" x14ac:dyDescent="0.2">
      <c r="C31" s="7"/>
      <c r="D31" s="15">
        <v>3.5</v>
      </c>
      <c r="E31" s="16" t="s">
        <v>24</v>
      </c>
      <c r="F31" s="17">
        <f>F32+F33+F34+F35+F36+F37</f>
        <v>48331.67</v>
      </c>
      <c r="G31" s="17"/>
      <c r="H31" s="17">
        <v>0</v>
      </c>
      <c r="I31" s="17">
        <v>0</v>
      </c>
      <c r="J31" s="17">
        <v>48164.17</v>
      </c>
      <c r="K31" s="17">
        <f t="shared" ref="K31:K37" si="2">F31*0.19</f>
        <v>9183.0172999999995</v>
      </c>
      <c r="L31" s="17">
        <v>0</v>
      </c>
      <c r="M31" s="17">
        <f t="shared" ref="M31:M38" si="3">F31+H31+K31</f>
        <v>57514.687299999998</v>
      </c>
      <c r="N31" s="18"/>
    </row>
    <row r="32" spans="3:14" ht="15.75" x14ac:dyDescent="0.2">
      <c r="C32" s="7"/>
      <c r="D32" s="19" t="s">
        <v>25</v>
      </c>
      <c r="E32" s="16" t="s">
        <v>26</v>
      </c>
      <c r="F32" s="17">
        <v>0</v>
      </c>
      <c r="G32" s="17"/>
      <c r="H32" s="17">
        <v>0</v>
      </c>
      <c r="I32" s="17">
        <v>0</v>
      </c>
      <c r="J32" s="17">
        <v>0</v>
      </c>
      <c r="K32" s="17">
        <f t="shared" si="2"/>
        <v>0</v>
      </c>
      <c r="L32" s="17">
        <v>0</v>
      </c>
      <c r="M32" s="17">
        <f t="shared" si="3"/>
        <v>0</v>
      </c>
      <c r="N32" s="18"/>
    </row>
    <row r="33" spans="3:14" ht="15.75" x14ac:dyDescent="0.2">
      <c r="C33" s="7"/>
      <c r="D33" s="19" t="s">
        <v>27</v>
      </c>
      <c r="E33" s="16" t="s">
        <v>28</v>
      </c>
      <c r="F33" s="17">
        <v>0</v>
      </c>
      <c r="G33" s="17"/>
      <c r="H33" s="17">
        <v>0</v>
      </c>
      <c r="I33" s="17">
        <v>0</v>
      </c>
      <c r="J33" s="17">
        <v>0</v>
      </c>
      <c r="K33" s="17">
        <f t="shared" si="2"/>
        <v>0</v>
      </c>
      <c r="L33" s="17">
        <v>0</v>
      </c>
      <c r="M33" s="17">
        <f t="shared" si="3"/>
        <v>0</v>
      </c>
      <c r="N33" s="18"/>
    </row>
    <row r="34" spans="3:14" ht="31.5" x14ac:dyDescent="0.2">
      <c r="C34" s="7"/>
      <c r="D34" s="19" t="s">
        <v>29</v>
      </c>
      <c r="E34" s="16" t="s">
        <v>30</v>
      </c>
      <c r="F34" s="17">
        <v>5000</v>
      </c>
      <c r="G34" s="17"/>
      <c r="H34" s="17">
        <v>0</v>
      </c>
      <c r="I34" s="17">
        <v>0</v>
      </c>
      <c r="J34" s="17">
        <v>5000</v>
      </c>
      <c r="K34" s="17">
        <f t="shared" si="2"/>
        <v>950</v>
      </c>
      <c r="L34" s="17">
        <v>0</v>
      </c>
      <c r="M34" s="17">
        <f t="shared" si="3"/>
        <v>5950</v>
      </c>
      <c r="N34" s="18"/>
    </row>
    <row r="35" spans="3:14" ht="31.5" x14ac:dyDescent="0.2">
      <c r="C35" s="9"/>
      <c r="D35" s="19" t="s">
        <v>31</v>
      </c>
      <c r="E35" s="16" t="s">
        <v>32</v>
      </c>
      <c r="F35" s="53">
        <v>166.67</v>
      </c>
      <c r="G35" s="53"/>
      <c r="H35" s="53">
        <v>0</v>
      </c>
      <c r="I35" s="53"/>
      <c r="J35" s="53">
        <v>1500</v>
      </c>
      <c r="K35" s="53">
        <f t="shared" si="2"/>
        <v>31.667299999999997</v>
      </c>
      <c r="L35" s="53">
        <v>0</v>
      </c>
      <c r="M35" s="53">
        <f t="shared" si="3"/>
        <v>198.33729999999997</v>
      </c>
      <c r="N35" s="54"/>
    </row>
    <row r="36" spans="3:14" ht="31.5" x14ac:dyDescent="0.2">
      <c r="C36" s="7"/>
      <c r="D36" s="19" t="s">
        <v>33</v>
      </c>
      <c r="E36" s="16" t="s">
        <v>34</v>
      </c>
      <c r="F36" s="17">
        <v>5500.83</v>
      </c>
      <c r="G36" s="17"/>
      <c r="H36" s="17">
        <v>0</v>
      </c>
      <c r="I36" s="17"/>
      <c r="J36" s="17">
        <v>5500</v>
      </c>
      <c r="K36" s="17">
        <f t="shared" si="2"/>
        <v>1045.1577</v>
      </c>
      <c r="L36" s="17">
        <v>0</v>
      </c>
      <c r="M36" s="17">
        <f t="shared" si="3"/>
        <v>6545.9876999999997</v>
      </c>
      <c r="N36" s="18"/>
    </row>
    <row r="37" spans="3:14" ht="15.75" x14ac:dyDescent="0.2">
      <c r="C37" s="7"/>
      <c r="D37" s="19" t="s">
        <v>35</v>
      </c>
      <c r="E37" s="16" t="s">
        <v>36</v>
      </c>
      <c r="F37" s="17">
        <v>37664.17</v>
      </c>
      <c r="G37" s="17"/>
      <c r="H37" s="17">
        <v>0</v>
      </c>
      <c r="I37" s="17"/>
      <c r="J37" s="17">
        <v>36164.17</v>
      </c>
      <c r="K37" s="17">
        <f t="shared" si="2"/>
        <v>7156.1922999999997</v>
      </c>
      <c r="L37" s="17">
        <v>0</v>
      </c>
      <c r="M37" s="17">
        <f t="shared" si="3"/>
        <v>44820.362300000001</v>
      </c>
      <c r="N37" s="18"/>
    </row>
    <row r="38" spans="3:14" ht="15.75" x14ac:dyDescent="0.2">
      <c r="C38" s="7"/>
      <c r="D38" s="15">
        <v>3.6</v>
      </c>
      <c r="E38" s="16" t="s">
        <v>37</v>
      </c>
      <c r="F38" s="17">
        <v>0</v>
      </c>
      <c r="G38" s="17"/>
      <c r="H38" s="17">
        <v>5833.33</v>
      </c>
      <c r="I38" s="17"/>
      <c r="J38" s="17">
        <v>6000</v>
      </c>
      <c r="K38" s="17">
        <f>(F38+H38)*0.19</f>
        <v>1108.3326999999999</v>
      </c>
      <c r="L38" s="17">
        <v>0</v>
      </c>
      <c r="M38" s="17">
        <f t="shared" si="3"/>
        <v>6941.6626999999999</v>
      </c>
      <c r="N38" s="18"/>
    </row>
    <row r="39" spans="3:14" ht="15.75" x14ac:dyDescent="0.2">
      <c r="C39" s="7"/>
      <c r="D39" s="15">
        <v>3.7</v>
      </c>
      <c r="E39" s="16" t="s">
        <v>38</v>
      </c>
      <c r="F39" s="17">
        <v>0</v>
      </c>
      <c r="G39" s="17"/>
      <c r="H39" s="17">
        <v>5000</v>
      </c>
      <c r="I39" s="17"/>
      <c r="J39" s="17">
        <v>5000</v>
      </c>
      <c r="K39" s="17">
        <v>0</v>
      </c>
      <c r="L39" s="17">
        <f>H39*0.21</f>
        <v>1050</v>
      </c>
      <c r="M39" s="17">
        <f>F39+H39+K39+L39</f>
        <v>6050</v>
      </c>
      <c r="N39" s="18"/>
    </row>
    <row r="40" spans="3:14" ht="31.5" x14ac:dyDescent="0.2">
      <c r="C40" s="7"/>
      <c r="D40" s="19" t="s">
        <v>39</v>
      </c>
      <c r="E40" s="16" t="s">
        <v>40</v>
      </c>
      <c r="F40" s="17">
        <v>0</v>
      </c>
      <c r="G40" s="17"/>
      <c r="H40" s="17">
        <v>4000</v>
      </c>
      <c r="I40" s="17"/>
      <c r="J40" s="17">
        <v>4000</v>
      </c>
      <c r="K40" s="17">
        <v>0</v>
      </c>
      <c r="L40" s="17">
        <f>H40*0.21</f>
        <v>840</v>
      </c>
      <c r="M40" s="17">
        <f>F40+H40+K40+L40</f>
        <v>4840</v>
      </c>
      <c r="N40" s="18"/>
    </row>
    <row r="41" spans="3:14" ht="15.75" x14ac:dyDescent="0.2">
      <c r="C41" s="7"/>
      <c r="D41" s="19" t="s">
        <v>41</v>
      </c>
      <c r="E41" s="16" t="s">
        <v>42</v>
      </c>
      <c r="F41" s="17">
        <v>0</v>
      </c>
      <c r="G41" s="17"/>
      <c r="H41" s="17">
        <v>1000</v>
      </c>
      <c r="I41" s="17"/>
      <c r="J41" s="17">
        <v>1000</v>
      </c>
      <c r="K41" s="17">
        <v>0</v>
      </c>
      <c r="L41" s="17">
        <f>H41*0.21</f>
        <v>210</v>
      </c>
      <c r="M41" s="17">
        <f>F41+H41+K41+L41</f>
        <v>1210</v>
      </c>
      <c r="N41" s="18"/>
    </row>
    <row r="42" spans="3:14" ht="15.75" x14ac:dyDescent="0.2">
      <c r="C42" s="7"/>
      <c r="D42" s="15">
        <v>3.8</v>
      </c>
      <c r="E42" s="16" t="s">
        <v>43</v>
      </c>
      <c r="F42" s="17">
        <f>F43+F46+F47</f>
        <v>24341.679999999997</v>
      </c>
      <c r="G42" s="17"/>
      <c r="H42" s="17">
        <v>0</v>
      </c>
      <c r="I42" s="17"/>
      <c r="J42" s="17">
        <v>27566.67</v>
      </c>
      <c r="K42" s="17">
        <v>0</v>
      </c>
      <c r="L42" s="17">
        <f>F42*0.21</f>
        <v>5111.7527999999993</v>
      </c>
      <c r="M42" s="17">
        <f>F42+H42+K42+L42</f>
        <v>29453.432799999995</v>
      </c>
      <c r="N42" s="18"/>
    </row>
    <row r="43" spans="3:14" ht="15.75" x14ac:dyDescent="0.2">
      <c r="C43" s="7"/>
      <c r="D43" s="19" t="s">
        <v>44</v>
      </c>
      <c r="E43" s="16" t="s">
        <v>45</v>
      </c>
      <c r="F43" s="17">
        <v>1666.67</v>
      </c>
      <c r="G43" s="17"/>
      <c r="H43" s="17">
        <v>0</v>
      </c>
      <c r="I43" s="17"/>
      <c r="J43" s="17">
        <v>1666.67</v>
      </c>
      <c r="K43" s="17">
        <v>0</v>
      </c>
      <c r="L43" s="17">
        <f t="shared" ref="L43:L47" si="4">F43*0.21</f>
        <v>350.00069999999999</v>
      </c>
      <c r="M43" s="17">
        <f t="shared" ref="M43:M45" si="5">F43+H43+K43+L43</f>
        <v>2016.6707000000001</v>
      </c>
      <c r="N43" s="18"/>
    </row>
    <row r="44" spans="3:14" ht="15.75" x14ac:dyDescent="0.2">
      <c r="C44" s="7"/>
      <c r="D44" s="19" t="s">
        <v>46</v>
      </c>
      <c r="E44" s="16" t="s">
        <v>47</v>
      </c>
      <c r="F44" s="17">
        <v>1000</v>
      </c>
      <c r="G44" s="17"/>
      <c r="H44" s="17">
        <v>0</v>
      </c>
      <c r="I44" s="17"/>
      <c r="J44" s="17">
        <v>1000</v>
      </c>
      <c r="K44" s="17">
        <v>0</v>
      </c>
      <c r="L44" s="17">
        <f t="shared" si="4"/>
        <v>210</v>
      </c>
      <c r="M44" s="17">
        <f t="shared" si="5"/>
        <v>1210</v>
      </c>
      <c r="N44" s="18"/>
    </row>
    <row r="45" spans="3:14" ht="47.25" x14ac:dyDescent="0.2">
      <c r="C45" s="7"/>
      <c r="D45" s="19" t="s">
        <v>48</v>
      </c>
      <c r="E45" s="16" t="s">
        <v>49</v>
      </c>
      <c r="F45" s="17">
        <v>666.67</v>
      </c>
      <c r="G45" s="17"/>
      <c r="H45" s="17">
        <v>0</v>
      </c>
      <c r="I45" s="17"/>
      <c r="J45" s="17">
        <v>666.67</v>
      </c>
      <c r="K45" s="17">
        <v>0</v>
      </c>
      <c r="L45" s="17">
        <f t="shared" si="4"/>
        <v>140.00069999999999</v>
      </c>
      <c r="M45" s="17">
        <f t="shared" si="5"/>
        <v>806.6706999999999</v>
      </c>
      <c r="N45" s="18"/>
    </row>
    <row r="46" spans="3:14" ht="15.75" x14ac:dyDescent="0.2">
      <c r="C46" s="7"/>
      <c r="D46" s="19" t="s">
        <v>50</v>
      </c>
      <c r="E46" s="16" t="s">
        <v>51</v>
      </c>
      <c r="F46" s="17">
        <v>20416.669999999998</v>
      </c>
      <c r="G46" s="17"/>
      <c r="H46" s="17">
        <v>0</v>
      </c>
      <c r="I46" s="17"/>
      <c r="J46" s="17">
        <v>21500</v>
      </c>
      <c r="K46" s="17">
        <v>0</v>
      </c>
      <c r="L46" s="17">
        <f t="shared" si="4"/>
        <v>4287.5006999999996</v>
      </c>
      <c r="M46" s="17">
        <f>F46+H46+K46+L46</f>
        <v>24704.170699999999</v>
      </c>
      <c r="N46" s="18"/>
    </row>
    <row r="47" spans="3:14" ht="47.25" x14ac:dyDescent="0.2">
      <c r="C47" s="7"/>
      <c r="D47" s="25" t="s">
        <v>52</v>
      </c>
      <c r="E47" s="21" t="s">
        <v>53</v>
      </c>
      <c r="F47" s="22">
        <v>2258.34</v>
      </c>
      <c r="G47" s="22"/>
      <c r="H47" s="22">
        <v>0</v>
      </c>
      <c r="I47" s="22"/>
      <c r="J47" s="23">
        <v>4400</v>
      </c>
      <c r="K47" s="17">
        <v>0</v>
      </c>
      <c r="L47" s="17">
        <f t="shared" si="4"/>
        <v>474.25139999999999</v>
      </c>
      <c r="M47" s="17">
        <f>F47+H47+K47+L47</f>
        <v>2732.5914000000002</v>
      </c>
      <c r="N47" s="24"/>
    </row>
    <row r="48" spans="3:14" s="126" customFormat="1" ht="15.75" customHeight="1" x14ac:dyDescent="0.2">
      <c r="C48" s="149"/>
      <c r="D48" s="167" t="s">
        <v>54</v>
      </c>
      <c r="E48" s="168"/>
      <c r="F48" s="26">
        <f>F22+F26+F27+F28+F31+F38+F39+F42</f>
        <v>80423.356666666659</v>
      </c>
      <c r="G48" s="26"/>
      <c r="H48" s="26">
        <f>H22+H26+H27+H28+H31+H38+H39+H42</f>
        <v>10833.33</v>
      </c>
      <c r="I48" s="26"/>
      <c r="J48" s="26">
        <f>J22+J26+J27+J28+J31+J38+J39+J42</f>
        <v>91814.18</v>
      </c>
      <c r="K48" s="26">
        <f>K38+K31+K29+K27+K22+K26</f>
        <v>11003.851266666663</v>
      </c>
      <c r="L48" s="26">
        <f>L42+L39+L30</f>
        <v>7001.7527999999993</v>
      </c>
      <c r="M48" s="26">
        <f>F48+H48+K48+L48</f>
        <v>109262.29073333333</v>
      </c>
      <c r="N48" s="27"/>
    </row>
    <row r="49" spans="1:14" ht="15.75" customHeight="1" x14ac:dyDescent="0.2">
      <c r="A49" s="98"/>
      <c r="B49" s="98"/>
      <c r="C49" s="95"/>
      <c r="D49" s="192" t="s">
        <v>108</v>
      </c>
      <c r="E49" s="193"/>
      <c r="F49" s="193"/>
      <c r="G49" s="193"/>
      <c r="H49" s="193"/>
      <c r="I49" s="193"/>
      <c r="J49" s="193"/>
      <c r="K49" s="193"/>
      <c r="L49" s="193"/>
      <c r="M49" s="193"/>
      <c r="N49" s="194"/>
    </row>
    <row r="50" spans="1:14" ht="15.75" x14ac:dyDescent="0.2">
      <c r="A50" s="98"/>
      <c r="B50" s="98"/>
      <c r="C50" s="95"/>
      <c r="D50" s="99">
        <v>4.0999999999999996</v>
      </c>
      <c r="E50" s="50" t="s">
        <v>55</v>
      </c>
      <c r="F50" s="100">
        <f>F51+F52+F53+F54</f>
        <v>2941190.7600000002</v>
      </c>
      <c r="G50" s="100"/>
      <c r="H50" s="101">
        <v>0</v>
      </c>
      <c r="I50" s="101"/>
      <c r="J50" s="101">
        <v>2406860.88</v>
      </c>
      <c r="K50" s="101">
        <v>0</v>
      </c>
      <c r="L50" s="101">
        <f>F50*0.21</f>
        <v>617650.05960000004</v>
      </c>
      <c r="M50" s="100">
        <f>F50+H50+K50+L50</f>
        <v>3558840.8196</v>
      </c>
      <c r="N50" s="102"/>
    </row>
    <row r="51" spans="1:14" ht="15.75" x14ac:dyDescent="0.2">
      <c r="A51" s="98"/>
      <c r="B51" s="98"/>
      <c r="C51" s="95"/>
      <c r="D51" s="103" t="s">
        <v>56</v>
      </c>
      <c r="E51" s="104" t="s">
        <v>57</v>
      </c>
      <c r="F51" s="105">
        <v>2704684.47</v>
      </c>
      <c r="G51" s="105"/>
      <c r="H51" s="101">
        <v>0</v>
      </c>
      <c r="I51" s="106"/>
      <c r="J51" s="106">
        <v>2403510.35</v>
      </c>
      <c r="K51" s="101">
        <v>0</v>
      </c>
      <c r="L51" s="101">
        <f t="shared" ref="L51:L62" si="6">F51*0.21</f>
        <v>567983.73869999999</v>
      </c>
      <c r="M51" s="100">
        <f t="shared" ref="M51:M62" si="7">F51+H51+K51+L51</f>
        <v>3272668.2087000003</v>
      </c>
      <c r="N51" s="107"/>
    </row>
    <row r="52" spans="1:14" ht="15.75" x14ac:dyDescent="0.2">
      <c r="A52" s="98"/>
      <c r="B52" s="98"/>
      <c r="C52" s="95"/>
      <c r="D52" s="103" t="s">
        <v>58</v>
      </c>
      <c r="E52" s="104" t="s">
        <v>61</v>
      </c>
      <c r="F52" s="106">
        <f>4195.13+89.84</f>
        <v>4284.97</v>
      </c>
      <c r="G52" s="106"/>
      <c r="H52" s="101">
        <v>0</v>
      </c>
      <c r="I52" s="106"/>
      <c r="J52" s="106">
        <v>2929.96</v>
      </c>
      <c r="K52" s="101">
        <v>0</v>
      </c>
      <c r="L52" s="101">
        <f t="shared" si="6"/>
        <v>899.84370000000001</v>
      </c>
      <c r="M52" s="100">
        <f t="shared" si="7"/>
        <v>5184.8137000000006</v>
      </c>
      <c r="N52" s="108"/>
    </row>
    <row r="53" spans="1:14" ht="15.75" x14ac:dyDescent="0.2">
      <c r="A53" s="98"/>
      <c r="B53" s="98"/>
      <c r="C53" s="95"/>
      <c r="D53" s="103" t="s">
        <v>60</v>
      </c>
      <c r="E53" s="104" t="s">
        <v>59</v>
      </c>
      <c r="F53" s="105">
        <f>945.4+59.9</f>
        <v>1005.3</v>
      </c>
      <c r="G53" s="106"/>
      <c r="H53" s="101">
        <v>0</v>
      </c>
      <c r="I53" s="106"/>
      <c r="J53" s="106">
        <v>420.57</v>
      </c>
      <c r="K53" s="101">
        <v>0</v>
      </c>
      <c r="L53" s="101">
        <f t="shared" si="6"/>
        <v>211.11299999999997</v>
      </c>
      <c r="M53" s="100">
        <f t="shared" si="7"/>
        <v>1216.413</v>
      </c>
      <c r="N53" s="108"/>
    </row>
    <row r="54" spans="1:14" ht="15.75" x14ac:dyDescent="0.2">
      <c r="A54" s="98"/>
      <c r="B54" s="98"/>
      <c r="C54" s="95"/>
      <c r="D54" s="103" t="s">
        <v>99</v>
      </c>
      <c r="E54" s="104" t="s">
        <v>64</v>
      </c>
      <c r="F54" s="105">
        <f>218488.37+12727.65</f>
        <v>231216.02</v>
      </c>
      <c r="G54" s="106"/>
      <c r="H54" s="101">
        <v>0</v>
      </c>
      <c r="I54" s="106"/>
      <c r="J54" s="106">
        <v>0</v>
      </c>
      <c r="K54" s="101">
        <v>0</v>
      </c>
      <c r="L54" s="101">
        <f t="shared" si="6"/>
        <v>48555.364199999996</v>
      </c>
      <c r="M54" s="100">
        <f t="shared" si="7"/>
        <v>279771.38419999997</v>
      </c>
      <c r="N54" s="108"/>
    </row>
    <row r="55" spans="1:14" ht="31.5" x14ac:dyDescent="0.2">
      <c r="A55" s="98"/>
      <c r="B55" s="98"/>
      <c r="C55" s="95"/>
      <c r="D55" s="99">
        <v>4.2</v>
      </c>
      <c r="E55" s="50" t="s">
        <v>62</v>
      </c>
      <c r="F55" s="100">
        <f>F56</f>
        <v>46395.1</v>
      </c>
      <c r="G55" s="100"/>
      <c r="H55" s="101">
        <v>0</v>
      </c>
      <c r="I55" s="101"/>
      <c r="J55" s="101">
        <v>241989.85</v>
      </c>
      <c r="K55" s="101">
        <v>0</v>
      </c>
      <c r="L55" s="101">
        <f t="shared" si="6"/>
        <v>9742.9709999999995</v>
      </c>
      <c r="M55" s="100">
        <f t="shared" si="7"/>
        <v>56138.070999999996</v>
      </c>
      <c r="N55" s="102"/>
    </row>
    <row r="56" spans="1:14" ht="15.75" x14ac:dyDescent="0.2">
      <c r="A56" s="98"/>
      <c r="B56" s="98"/>
      <c r="C56" s="95"/>
      <c r="D56" s="103" t="s">
        <v>63</v>
      </c>
      <c r="E56" s="104" t="s">
        <v>61</v>
      </c>
      <c r="F56" s="105">
        <v>46395.1</v>
      </c>
      <c r="G56" s="105"/>
      <c r="H56" s="101">
        <v>0</v>
      </c>
      <c r="I56" s="106"/>
      <c r="J56" s="106">
        <v>37507.370000000003</v>
      </c>
      <c r="K56" s="101">
        <v>0</v>
      </c>
      <c r="L56" s="101">
        <f t="shared" si="6"/>
        <v>9742.9709999999995</v>
      </c>
      <c r="M56" s="100">
        <f t="shared" si="7"/>
        <v>56138.070999999996</v>
      </c>
      <c r="N56" s="107"/>
    </row>
    <row r="57" spans="1:14" ht="31.5" x14ac:dyDescent="0.2">
      <c r="A57" s="98"/>
      <c r="B57" s="98"/>
      <c r="C57" s="95"/>
      <c r="D57" s="99">
        <v>4.3</v>
      </c>
      <c r="E57" s="50" t="s">
        <v>66</v>
      </c>
      <c r="F57" s="100">
        <f>F58</f>
        <v>16000</v>
      </c>
      <c r="G57" s="100"/>
      <c r="H57" s="101">
        <v>0</v>
      </c>
      <c r="I57" s="101"/>
      <c r="J57" s="101">
        <v>75000</v>
      </c>
      <c r="K57" s="101">
        <v>0</v>
      </c>
      <c r="L57" s="101">
        <f t="shared" si="6"/>
        <v>3360</v>
      </c>
      <c r="M57" s="100">
        <f t="shared" si="7"/>
        <v>19360</v>
      </c>
      <c r="N57" s="102"/>
    </row>
    <row r="58" spans="1:14" ht="15.75" x14ac:dyDescent="0.2">
      <c r="A58" s="98"/>
      <c r="B58" s="98"/>
      <c r="C58" s="95"/>
      <c r="D58" s="103" t="s">
        <v>67</v>
      </c>
      <c r="E58" s="104" t="s">
        <v>61</v>
      </c>
      <c r="F58" s="105">
        <v>16000</v>
      </c>
      <c r="G58" s="105"/>
      <c r="H58" s="101">
        <v>0</v>
      </c>
      <c r="I58" s="106"/>
      <c r="J58" s="106">
        <v>75000</v>
      </c>
      <c r="K58" s="101">
        <v>0</v>
      </c>
      <c r="L58" s="101">
        <f t="shared" si="6"/>
        <v>3360</v>
      </c>
      <c r="M58" s="100">
        <f t="shared" si="7"/>
        <v>19360</v>
      </c>
      <c r="N58" s="107"/>
    </row>
    <row r="59" spans="1:14" ht="47.25" x14ac:dyDescent="0.2">
      <c r="A59" s="98"/>
      <c r="B59" s="98"/>
      <c r="C59" s="95"/>
      <c r="D59" s="99">
        <v>4.4000000000000004</v>
      </c>
      <c r="E59" s="50" t="s">
        <v>68</v>
      </c>
      <c r="F59" s="101">
        <v>0</v>
      </c>
      <c r="G59" s="101"/>
      <c r="H59" s="101">
        <v>0</v>
      </c>
      <c r="I59" s="101"/>
      <c r="J59" s="101">
        <v>0</v>
      </c>
      <c r="K59" s="101">
        <v>0</v>
      </c>
      <c r="L59" s="101">
        <f t="shared" si="6"/>
        <v>0</v>
      </c>
      <c r="M59" s="100">
        <f t="shared" si="7"/>
        <v>0</v>
      </c>
      <c r="N59" s="112"/>
    </row>
    <row r="60" spans="1:14" ht="15.75" x14ac:dyDescent="0.2">
      <c r="A60" s="98"/>
      <c r="B60" s="98"/>
      <c r="C60" s="95"/>
      <c r="D60" s="99">
        <v>4.5</v>
      </c>
      <c r="E60" s="50" t="s">
        <v>69</v>
      </c>
      <c r="F60" s="101">
        <v>0</v>
      </c>
      <c r="G60" s="101"/>
      <c r="H60" s="101">
        <v>0</v>
      </c>
      <c r="I60" s="101"/>
      <c r="J60" s="101">
        <v>0</v>
      </c>
      <c r="K60" s="101">
        <v>0</v>
      </c>
      <c r="L60" s="101">
        <f t="shared" si="6"/>
        <v>0</v>
      </c>
      <c r="M60" s="100">
        <f t="shared" si="7"/>
        <v>0</v>
      </c>
      <c r="N60" s="112"/>
    </row>
    <row r="61" spans="1:14" ht="15.75" x14ac:dyDescent="0.2">
      <c r="A61" s="98"/>
      <c r="B61" s="98"/>
      <c r="C61" s="95"/>
      <c r="D61" s="99">
        <v>4.5999999999999996</v>
      </c>
      <c r="E61" s="50" t="s">
        <v>70</v>
      </c>
      <c r="F61" s="101">
        <v>0</v>
      </c>
      <c r="G61" s="101"/>
      <c r="H61" s="101">
        <v>0</v>
      </c>
      <c r="I61" s="101"/>
      <c r="J61" s="101">
        <v>0</v>
      </c>
      <c r="K61" s="101">
        <f t="shared" ref="K61" si="8">F61*0.19</f>
        <v>0</v>
      </c>
      <c r="L61" s="101">
        <f t="shared" si="6"/>
        <v>0</v>
      </c>
      <c r="M61" s="100">
        <f t="shared" si="7"/>
        <v>0</v>
      </c>
      <c r="N61" s="112"/>
    </row>
    <row r="62" spans="1:14" s="126" customFormat="1" ht="15.75" customHeight="1" x14ac:dyDescent="0.2">
      <c r="A62" s="127"/>
      <c r="B62" s="127"/>
      <c r="C62" s="151"/>
      <c r="D62" s="171" t="s">
        <v>71</v>
      </c>
      <c r="E62" s="172"/>
      <c r="F62" s="152">
        <f>F50+F55+F57+F59+F60+F61</f>
        <v>3003585.8600000003</v>
      </c>
      <c r="G62" s="109"/>
      <c r="H62" s="110">
        <v>0</v>
      </c>
      <c r="I62" s="110"/>
      <c r="J62" s="110">
        <f>J50+J55+J57+J59+J60+J61</f>
        <v>2723850.73</v>
      </c>
      <c r="K62" s="110">
        <v>0</v>
      </c>
      <c r="L62" s="110">
        <f t="shared" si="6"/>
        <v>630753.03060000006</v>
      </c>
      <c r="M62" s="109">
        <f t="shared" si="7"/>
        <v>3634338.8906000005</v>
      </c>
      <c r="N62" s="111"/>
    </row>
    <row r="63" spans="1:14" ht="15.75" customHeight="1" x14ac:dyDescent="0.2">
      <c r="A63" s="98"/>
      <c r="B63" s="98"/>
      <c r="C63" s="95"/>
      <c r="D63" s="192" t="s">
        <v>109</v>
      </c>
      <c r="E63" s="193"/>
      <c r="F63" s="193"/>
      <c r="G63" s="193"/>
      <c r="H63" s="193"/>
      <c r="I63" s="193"/>
      <c r="J63" s="193"/>
      <c r="K63" s="193"/>
      <c r="L63" s="193"/>
      <c r="M63" s="193"/>
      <c r="N63" s="194"/>
    </row>
    <row r="64" spans="1:14" ht="15.75" x14ac:dyDescent="0.2">
      <c r="A64" s="98"/>
      <c r="B64" s="98"/>
      <c r="C64" s="95"/>
      <c r="D64" s="99">
        <v>5.0999999999999996</v>
      </c>
      <c r="E64" s="50" t="s">
        <v>72</v>
      </c>
      <c r="F64" s="100">
        <v>0</v>
      </c>
      <c r="G64" s="100"/>
      <c r="H64" s="101">
        <v>0</v>
      </c>
      <c r="I64" s="101"/>
      <c r="J64" s="101">
        <v>60000</v>
      </c>
      <c r="K64" s="101">
        <f>F64*0.21</f>
        <v>0</v>
      </c>
      <c r="L64" s="101">
        <v>0</v>
      </c>
      <c r="M64" s="100">
        <f t="shared" ref="M64:M72" si="9">F64+H64+K64</f>
        <v>0</v>
      </c>
      <c r="N64" s="102"/>
    </row>
    <row r="65" spans="1:14" ht="31.5" x14ac:dyDescent="0.2">
      <c r="A65" s="98"/>
      <c r="B65" s="98"/>
      <c r="C65" s="95"/>
      <c r="D65" s="113" t="s">
        <v>73</v>
      </c>
      <c r="E65" s="50" t="s">
        <v>74</v>
      </c>
      <c r="F65" s="100">
        <v>0</v>
      </c>
      <c r="G65" s="100"/>
      <c r="H65" s="101">
        <v>0</v>
      </c>
      <c r="I65" s="101"/>
      <c r="J65" s="101">
        <v>50000</v>
      </c>
      <c r="K65" s="101">
        <f>F65*0.21</f>
        <v>0</v>
      </c>
      <c r="L65" s="101">
        <v>0</v>
      </c>
      <c r="M65" s="100">
        <f t="shared" si="9"/>
        <v>0</v>
      </c>
      <c r="N65" s="102"/>
    </row>
    <row r="66" spans="1:14" ht="15.75" x14ac:dyDescent="0.2">
      <c r="A66" s="98"/>
      <c r="B66" s="98"/>
      <c r="C66" s="95"/>
      <c r="D66" s="114" t="s">
        <v>75</v>
      </c>
      <c r="E66" s="115" t="s">
        <v>76</v>
      </c>
      <c r="F66" s="116">
        <v>0</v>
      </c>
      <c r="G66" s="116"/>
      <c r="H66" s="101">
        <v>0</v>
      </c>
      <c r="I66" s="117"/>
      <c r="J66" s="118">
        <v>10000</v>
      </c>
      <c r="K66" s="101">
        <f>F66*0.21</f>
        <v>0</v>
      </c>
      <c r="L66" s="101">
        <v>0</v>
      </c>
      <c r="M66" s="100">
        <f t="shared" si="9"/>
        <v>0</v>
      </c>
      <c r="N66" s="119"/>
    </row>
    <row r="67" spans="1:14" ht="15.75" x14ac:dyDescent="0.2">
      <c r="A67" s="98"/>
      <c r="B67" s="98"/>
      <c r="C67" s="95"/>
      <c r="D67" s="99">
        <v>5.2</v>
      </c>
      <c r="E67" s="50" t="s">
        <v>77</v>
      </c>
      <c r="F67" s="100">
        <f>F68+F69+F70+F71+F72</f>
        <v>32863.444460000006</v>
      </c>
      <c r="G67" s="100"/>
      <c r="H67" s="101">
        <v>0</v>
      </c>
      <c r="I67" s="101"/>
      <c r="J67" s="101">
        <v>26977.06</v>
      </c>
      <c r="K67" s="101">
        <f>K68+K69+K70+K71+K72</f>
        <v>0</v>
      </c>
      <c r="L67" s="101">
        <v>0</v>
      </c>
      <c r="M67" s="100">
        <f t="shared" si="9"/>
        <v>32863.444460000006</v>
      </c>
      <c r="N67" s="102"/>
    </row>
    <row r="68" spans="1:14" ht="31.5" x14ac:dyDescent="0.2">
      <c r="A68" s="98"/>
      <c r="B68" s="98"/>
      <c r="C68" s="95"/>
      <c r="D68" s="113" t="s">
        <v>78</v>
      </c>
      <c r="E68" s="50" t="s">
        <v>79</v>
      </c>
      <c r="F68" s="101">
        <v>0</v>
      </c>
      <c r="G68" s="101"/>
      <c r="H68" s="101">
        <v>0</v>
      </c>
      <c r="I68" s="101"/>
      <c r="J68" s="101">
        <v>0</v>
      </c>
      <c r="K68" s="101">
        <f>F68*0.21</f>
        <v>0</v>
      </c>
      <c r="L68" s="101">
        <v>0</v>
      </c>
      <c r="M68" s="100">
        <f t="shared" si="9"/>
        <v>0</v>
      </c>
      <c r="N68" s="112"/>
    </row>
    <row r="69" spans="1:14" ht="31.5" x14ac:dyDescent="0.2">
      <c r="A69" s="98"/>
      <c r="B69" s="98"/>
      <c r="C69" s="95"/>
      <c r="D69" s="113" t="s">
        <v>80</v>
      </c>
      <c r="E69" s="50" t="s">
        <v>81</v>
      </c>
      <c r="F69" s="100">
        <f>F87*0.005</f>
        <v>14937.929300000002</v>
      </c>
      <c r="G69" s="100"/>
      <c r="H69" s="101">
        <v>0</v>
      </c>
      <c r="I69" s="101"/>
      <c r="J69" s="101">
        <v>12262.3</v>
      </c>
      <c r="K69" s="101">
        <v>0</v>
      </c>
      <c r="L69" s="101">
        <v>0</v>
      </c>
      <c r="M69" s="100">
        <f t="shared" si="9"/>
        <v>14937.929300000002</v>
      </c>
      <c r="N69" s="102"/>
    </row>
    <row r="70" spans="1:14" ht="47.25" x14ac:dyDescent="0.2">
      <c r="A70" s="98"/>
      <c r="B70" s="98"/>
      <c r="C70" s="95"/>
      <c r="D70" s="113" t="s">
        <v>82</v>
      </c>
      <c r="E70" s="50" t="s">
        <v>83</v>
      </c>
      <c r="F70" s="100">
        <f>F87*0.001</f>
        <v>2987.5858600000006</v>
      </c>
      <c r="G70" s="101"/>
      <c r="H70" s="101">
        <v>0</v>
      </c>
      <c r="I70" s="101"/>
      <c r="J70" s="101">
        <v>2452.46</v>
      </c>
      <c r="K70" s="101">
        <v>0</v>
      </c>
      <c r="L70" s="101">
        <v>0</v>
      </c>
      <c r="M70" s="100">
        <f t="shared" si="9"/>
        <v>2987.5858600000006</v>
      </c>
      <c r="N70" s="112"/>
    </row>
    <row r="71" spans="1:14" ht="31.5" x14ac:dyDescent="0.2">
      <c r="A71" s="98"/>
      <c r="B71" s="98"/>
      <c r="C71" s="95"/>
      <c r="D71" s="113" t="s">
        <v>84</v>
      </c>
      <c r="E71" s="50" t="s">
        <v>85</v>
      </c>
      <c r="F71" s="100">
        <f>F87*0.005</f>
        <v>14937.929300000002</v>
      </c>
      <c r="G71" s="100"/>
      <c r="H71" s="101">
        <v>0</v>
      </c>
      <c r="I71" s="101"/>
      <c r="J71" s="101">
        <v>12262.3</v>
      </c>
      <c r="K71" s="101">
        <v>0</v>
      </c>
      <c r="L71" s="101">
        <v>0</v>
      </c>
      <c r="M71" s="100">
        <f t="shared" si="9"/>
        <v>14937.929300000002</v>
      </c>
      <c r="N71" s="102"/>
    </row>
    <row r="72" spans="1:14" ht="31.5" x14ac:dyDescent="0.2">
      <c r="A72" s="98"/>
      <c r="B72" s="98"/>
      <c r="C72" s="95"/>
      <c r="D72" s="113" t="s">
        <v>86</v>
      </c>
      <c r="E72" s="50" t="s">
        <v>87</v>
      </c>
      <c r="F72" s="101">
        <v>0</v>
      </c>
      <c r="G72" s="101"/>
      <c r="H72" s="101">
        <v>0</v>
      </c>
      <c r="I72" s="101"/>
      <c r="J72" s="101">
        <v>0</v>
      </c>
      <c r="K72" s="101">
        <f>F72*0.21</f>
        <v>0</v>
      </c>
      <c r="L72" s="101">
        <v>0</v>
      </c>
      <c r="M72" s="100">
        <f t="shared" si="9"/>
        <v>0</v>
      </c>
      <c r="N72" s="112"/>
    </row>
    <row r="73" spans="1:14" ht="15.75" x14ac:dyDescent="0.2">
      <c r="A73" s="98"/>
      <c r="B73" s="98"/>
      <c r="C73" s="95"/>
      <c r="D73" s="99">
        <v>5.3</v>
      </c>
      <c r="E73" s="50" t="s">
        <v>88</v>
      </c>
      <c r="F73" s="31">
        <v>301798.12</v>
      </c>
      <c r="G73" s="100"/>
      <c r="H73" s="101">
        <v>0</v>
      </c>
      <c r="I73" s="101"/>
      <c r="J73" s="101">
        <v>242302.81</v>
      </c>
      <c r="K73" s="101">
        <v>0</v>
      </c>
      <c r="L73" s="101">
        <f>F73*0.21</f>
        <v>63377.605199999998</v>
      </c>
      <c r="M73" s="100">
        <f>F73+H73+K73+L73</f>
        <v>365175.72519999999</v>
      </c>
      <c r="N73" s="102"/>
    </row>
    <row r="74" spans="1:14" ht="15.75" x14ac:dyDescent="0.2">
      <c r="A74" s="98"/>
      <c r="B74" s="98"/>
      <c r="C74" s="95"/>
      <c r="D74" s="99">
        <v>5.4</v>
      </c>
      <c r="E74" s="50" t="s">
        <v>89</v>
      </c>
      <c r="F74" s="100">
        <v>2000</v>
      </c>
      <c r="G74" s="101"/>
      <c r="H74" s="101">
        <v>0</v>
      </c>
      <c r="I74" s="101"/>
      <c r="J74" s="101">
        <v>2000</v>
      </c>
      <c r="K74" s="101">
        <f>K75+L76</f>
        <v>416.47899999999998</v>
      </c>
      <c r="L74" s="101">
        <v>0</v>
      </c>
      <c r="M74" s="100">
        <f>F74+K75+L76</f>
        <v>2416.4789999999998</v>
      </c>
      <c r="N74" s="112"/>
    </row>
    <row r="75" spans="1:14" ht="31.5" x14ac:dyDescent="0.2">
      <c r="A75" s="98"/>
      <c r="B75" s="98"/>
      <c r="C75" s="95"/>
      <c r="D75" s="153" t="s">
        <v>115</v>
      </c>
      <c r="E75" s="50" t="s">
        <v>127</v>
      </c>
      <c r="F75" s="100">
        <v>176.05</v>
      </c>
      <c r="G75" s="101"/>
      <c r="H75" s="101">
        <v>0</v>
      </c>
      <c r="I75" s="101"/>
      <c r="J75" s="101"/>
      <c r="K75" s="101">
        <f>F75*0.19</f>
        <v>33.4495</v>
      </c>
      <c r="L75" s="101">
        <v>0</v>
      </c>
      <c r="M75" s="100">
        <f>F75+H75+K75+L75</f>
        <v>209.49950000000001</v>
      </c>
      <c r="N75" s="112"/>
    </row>
    <row r="76" spans="1:14" ht="31.5" x14ac:dyDescent="0.2">
      <c r="A76" s="98"/>
      <c r="B76" s="98"/>
      <c r="C76" s="95"/>
      <c r="D76" s="153" t="s">
        <v>116</v>
      </c>
      <c r="E76" s="50" t="s">
        <v>128</v>
      </c>
      <c r="F76" s="100">
        <v>1823.95</v>
      </c>
      <c r="G76" s="101"/>
      <c r="H76" s="101">
        <v>0</v>
      </c>
      <c r="I76" s="101"/>
      <c r="J76" s="101"/>
      <c r="K76" s="101">
        <v>0</v>
      </c>
      <c r="L76" s="101">
        <f>F76*0.21</f>
        <v>383.02949999999998</v>
      </c>
      <c r="M76" s="100">
        <f>F76+H76+K76+L76</f>
        <v>2206.9794999999999</v>
      </c>
      <c r="N76" s="112"/>
    </row>
    <row r="77" spans="1:14" s="126" customFormat="1" ht="15.75" customHeight="1" x14ac:dyDescent="0.2">
      <c r="A77" s="127"/>
      <c r="B77" s="127"/>
      <c r="C77" s="151"/>
      <c r="D77" s="171" t="s">
        <v>90</v>
      </c>
      <c r="E77" s="172"/>
      <c r="F77" s="109">
        <f>F64+F67+F73+F74</f>
        <v>336661.56446000002</v>
      </c>
      <c r="G77" s="109"/>
      <c r="H77" s="110">
        <v>0</v>
      </c>
      <c r="I77" s="110"/>
      <c r="J77" s="110">
        <f>J64+J67+J73+J74</f>
        <v>331279.87</v>
      </c>
      <c r="K77" s="110">
        <f>K64+K67+K73+K75</f>
        <v>33.4495</v>
      </c>
      <c r="L77" s="110">
        <f>L76+L73</f>
        <v>63760.634699999995</v>
      </c>
      <c r="M77" s="109">
        <f>F77+H77+K77+L77</f>
        <v>400455.64866000001</v>
      </c>
      <c r="N77" s="111"/>
    </row>
    <row r="78" spans="1:14" ht="15.75" customHeight="1" x14ac:dyDescent="0.2">
      <c r="A78" s="98"/>
      <c r="B78" s="98"/>
      <c r="C78" s="95"/>
      <c r="D78" s="192" t="s">
        <v>110</v>
      </c>
      <c r="E78" s="193"/>
      <c r="F78" s="193"/>
      <c r="G78" s="193"/>
      <c r="H78" s="193"/>
      <c r="I78" s="193"/>
      <c r="J78" s="193"/>
      <c r="K78" s="193"/>
      <c r="L78" s="193"/>
      <c r="M78" s="193"/>
      <c r="N78" s="194"/>
    </row>
    <row r="79" spans="1:14" ht="15.75" x14ac:dyDescent="0.2">
      <c r="A79" s="98"/>
      <c r="B79" s="98"/>
      <c r="C79" s="95"/>
      <c r="D79" s="99">
        <v>6.1</v>
      </c>
      <c r="E79" s="50" t="s">
        <v>91</v>
      </c>
      <c r="F79" s="101">
        <v>0</v>
      </c>
      <c r="G79" s="101">
        <v>0</v>
      </c>
      <c r="H79" s="101">
        <v>0</v>
      </c>
      <c r="I79" s="101">
        <v>0</v>
      </c>
      <c r="J79" s="101"/>
      <c r="K79" s="101">
        <v>0</v>
      </c>
      <c r="L79" s="101">
        <v>0</v>
      </c>
      <c r="M79" s="101">
        <v>0</v>
      </c>
      <c r="N79" s="112">
        <v>0</v>
      </c>
    </row>
    <row r="80" spans="1:14" ht="15.75" x14ac:dyDescent="0.2">
      <c r="A80" s="98"/>
      <c r="B80" s="98"/>
      <c r="C80" s="95"/>
      <c r="D80" s="99">
        <v>6.2</v>
      </c>
      <c r="E80" s="50" t="s">
        <v>92</v>
      </c>
      <c r="F80" s="101">
        <v>0</v>
      </c>
      <c r="G80" s="101">
        <v>0</v>
      </c>
      <c r="H80" s="101">
        <v>0</v>
      </c>
      <c r="I80" s="101">
        <v>0</v>
      </c>
      <c r="J80" s="101"/>
      <c r="K80" s="101">
        <v>0</v>
      </c>
      <c r="L80" s="101">
        <v>0</v>
      </c>
      <c r="M80" s="101">
        <v>0</v>
      </c>
      <c r="N80" s="112">
        <v>0</v>
      </c>
    </row>
    <row r="81" spans="1:14" ht="15.75" customHeight="1" x14ac:dyDescent="0.2">
      <c r="A81" s="98"/>
      <c r="B81" s="98"/>
      <c r="C81" s="95"/>
      <c r="D81" s="171" t="s">
        <v>93</v>
      </c>
      <c r="E81" s="172"/>
      <c r="F81" s="110">
        <v>0</v>
      </c>
      <c r="G81" s="110">
        <v>0</v>
      </c>
      <c r="H81" s="110">
        <v>0</v>
      </c>
      <c r="I81" s="110">
        <v>0</v>
      </c>
      <c r="J81" s="110"/>
      <c r="K81" s="110">
        <v>0</v>
      </c>
      <c r="L81" s="110">
        <v>0</v>
      </c>
      <c r="M81" s="110">
        <v>0</v>
      </c>
      <c r="N81" s="120">
        <v>0</v>
      </c>
    </row>
    <row r="82" spans="1:14" ht="15.75" customHeight="1" x14ac:dyDescent="0.2">
      <c r="A82" s="98"/>
      <c r="B82" s="98"/>
      <c r="C82" s="95"/>
      <c r="D82" s="192" t="s">
        <v>111</v>
      </c>
      <c r="E82" s="193"/>
      <c r="F82" s="193"/>
      <c r="G82" s="193"/>
      <c r="H82" s="193"/>
      <c r="I82" s="193"/>
      <c r="J82" s="193"/>
      <c r="K82" s="193"/>
      <c r="L82" s="193"/>
      <c r="M82" s="193"/>
      <c r="N82" s="194"/>
    </row>
    <row r="83" spans="1:14" ht="15.75" x14ac:dyDescent="0.2">
      <c r="A83" s="98"/>
      <c r="B83" s="98"/>
      <c r="C83" s="95"/>
      <c r="D83" s="99">
        <v>7.1</v>
      </c>
      <c r="E83" s="50" t="s">
        <v>94</v>
      </c>
      <c r="F83" s="101">
        <v>0</v>
      </c>
      <c r="G83" s="101">
        <v>0</v>
      </c>
      <c r="H83" s="100">
        <v>0</v>
      </c>
      <c r="I83" s="100">
        <v>60758.96</v>
      </c>
      <c r="J83" s="100">
        <v>60758.96</v>
      </c>
      <c r="K83" s="101">
        <f>H83*0.21</f>
        <v>0</v>
      </c>
      <c r="L83" s="101">
        <v>0</v>
      </c>
      <c r="M83" s="100">
        <f t="shared" ref="M83" si="10">F83+H83+K83</f>
        <v>0</v>
      </c>
      <c r="N83" s="102"/>
    </row>
    <row r="84" spans="1:14" ht="31.5" x14ac:dyDescent="0.2">
      <c r="A84" s="98"/>
      <c r="B84" s="98"/>
      <c r="C84" s="95"/>
      <c r="D84" s="99">
        <v>7.2</v>
      </c>
      <c r="E84" s="50" t="s">
        <v>95</v>
      </c>
      <c r="F84" s="101">
        <v>0</v>
      </c>
      <c r="G84" s="101">
        <v>0</v>
      </c>
      <c r="H84" s="100">
        <v>137992.24</v>
      </c>
      <c r="I84" s="100">
        <v>88900.28</v>
      </c>
      <c r="J84" s="100">
        <v>88900.28</v>
      </c>
      <c r="K84" s="101">
        <v>0</v>
      </c>
      <c r="L84" s="101">
        <f>H84*0.21</f>
        <v>28978.370399999996</v>
      </c>
      <c r="M84" s="100">
        <f>F84+H84+K84+L84</f>
        <v>166970.61039999998</v>
      </c>
      <c r="N84" s="102"/>
    </row>
    <row r="85" spans="1:14" s="126" customFormat="1" ht="15.75" customHeight="1" x14ac:dyDescent="0.2">
      <c r="A85" s="127"/>
      <c r="B85" s="127"/>
      <c r="C85" s="151"/>
      <c r="D85" s="171" t="s">
        <v>96</v>
      </c>
      <c r="E85" s="172"/>
      <c r="F85" s="110">
        <f>F83+F84</f>
        <v>0</v>
      </c>
      <c r="G85" s="110">
        <v>0</v>
      </c>
      <c r="H85" s="110">
        <f>H83+H84</f>
        <v>137992.24</v>
      </c>
      <c r="I85" s="110">
        <f t="shared" ref="I85:J85" si="11">I83+I84</f>
        <v>149659.24</v>
      </c>
      <c r="J85" s="110">
        <f t="shared" si="11"/>
        <v>149659.24</v>
      </c>
      <c r="K85" s="110">
        <f>K83+K84</f>
        <v>0</v>
      </c>
      <c r="L85" s="110">
        <f>H85*0.21</f>
        <v>28978.370399999996</v>
      </c>
      <c r="M85" s="110">
        <f>F85+H85+K85+L85</f>
        <v>166970.61039999998</v>
      </c>
      <c r="N85" s="111"/>
    </row>
    <row r="86" spans="1:14" ht="15.75" customHeight="1" x14ac:dyDescent="0.2">
      <c r="A86" s="98"/>
      <c r="B86" s="98"/>
      <c r="C86" s="95"/>
      <c r="D86" s="169" t="s">
        <v>98</v>
      </c>
      <c r="E86" s="170"/>
      <c r="F86" s="92">
        <f>F17+F20+F48+F62+F77+F81+F85</f>
        <v>3420670.7811266668</v>
      </c>
      <c r="G86" s="92">
        <f>G17+G20+G48+G62+G77+G81+G85</f>
        <v>0</v>
      </c>
      <c r="H86" s="92">
        <f>H17+H20+H48+H62+H77+H81+H85</f>
        <v>148825.56999999998</v>
      </c>
      <c r="I86" s="92">
        <f>I17+I20+I48+I62+I77+I81+I85</f>
        <v>149659.24</v>
      </c>
      <c r="J86" s="92">
        <f>J17+J20+J48+J62+J77+J81+J85</f>
        <v>3296604.0200000005</v>
      </c>
      <c r="K86" s="92">
        <f>K17+K20+K48+K62+K77+K81+K85</f>
        <v>11037.300766666664</v>
      </c>
      <c r="L86" s="92">
        <f>L17+L20+L48+L62+L77+L81+L85</f>
        <v>730493.78850000014</v>
      </c>
      <c r="M86" s="121">
        <f>F86+H86+K86+L86</f>
        <v>4311027.4403933333</v>
      </c>
      <c r="N86" s="122"/>
    </row>
    <row r="87" spans="1:14" ht="15.75" customHeight="1" x14ac:dyDescent="0.2">
      <c r="A87" s="98"/>
      <c r="B87" s="98"/>
      <c r="C87" s="95"/>
      <c r="D87" s="171" t="s">
        <v>97</v>
      </c>
      <c r="E87" s="172"/>
      <c r="F87" s="110">
        <f>F17+F20+F50+F55+F65</f>
        <v>2987585.8600000003</v>
      </c>
      <c r="G87" s="110">
        <f>G17+G20+G50+G55+G65</f>
        <v>0</v>
      </c>
      <c r="H87" s="110">
        <f>H17+H20+H50+H55+H65</f>
        <v>0</v>
      </c>
      <c r="I87" s="110">
        <f>I17+I20+I50+I55+I65</f>
        <v>0</v>
      </c>
      <c r="J87" s="110">
        <f>J17+J20+J50+J55+J65</f>
        <v>2698850.73</v>
      </c>
      <c r="K87" s="110">
        <v>0</v>
      </c>
      <c r="L87" s="110">
        <f>F87*0.21</f>
        <v>627393.03060000006</v>
      </c>
      <c r="M87" s="110">
        <f>F87+H87+K87+L87</f>
        <v>3614978.8906000005</v>
      </c>
      <c r="N87" s="111"/>
    </row>
    <row r="88" spans="1:14" x14ac:dyDescent="0.2">
      <c r="A88" s="98"/>
      <c r="B88" s="98"/>
      <c r="C88" s="95"/>
      <c r="D88" s="3"/>
      <c r="E88" s="3"/>
      <c r="F88" s="123"/>
      <c r="G88" s="123"/>
      <c r="H88" s="123"/>
      <c r="I88" s="123"/>
      <c r="J88" s="123"/>
      <c r="K88" s="123"/>
      <c r="L88" s="123"/>
      <c r="M88" s="123"/>
      <c r="N88" s="124"/>
    </row>
    <row r="89" spans="1:14" x14ac:dyDescent="0.2">
      <c r="C89" s="7"/>
      <c r="D89" s="3"/>
      <c r="E89" s="3"/>
      <c r="F89" s="4"/>
      <c r="G89" s="4"/>
      <c r="H89" s="4"/>
      <c r="I89" s="4"/>
      <c r="J89" s="4"/>
      <c r="K89" s="4"/>
      <c r="L89" s="4"/>
      <c r="M89" s="4"/>
      <c r="N89" s="5"/>
    </row>
    <row r="90" spans="1:14" x14ac:dyDescent="0.2">
      <c r="C90" s="7"/>
      <c r="D90" s="3"/>
      <c r="E90" s="3"/>
      <c r="F90" s="4"/>
      <c r="G90" s="4"/>
      <c r="H90" s="4"/>
      <c r="I90" s="4"/>
      <c r="J90" s="4"/>
      <c r="K90" s="4"/>
      <c r="L90" s="4"/>
      <c r="M90" s="4"/>
      <c r="N90" s="5"/>
    </row>
    <row r="91" spans="1:14" s="86" customFormat="1" ht="15.75" x14ac:dyDescent="0.25">
      <c r="C91" s="39"/>
      <c r="D91" s="173"/>
      <c r="E91" s="173"/>
      <c r="F91" s="173"/>
      <c r="G91" s="173"/>
      <c r="H91" s="173"/>
      <c r="I91" s="173"/>
      <c r="J91" s="173"/>
      <c r="K91" s="173"/>
      <c r="L91" s="173"/>
      <c r="M91" s="173"/>
      <c r="N91" s="173"/>
    </row>
    <row r="92" spans="1:14" ht="15.75" x14ac:dyDescent="0.25">
      <c r="C92" s="7"/>
      <c r="D92" s="2"/>
      <c r="E92" s="163" t="s">
        <v>148</v>
      </c>
      <c r="F92" s="205"/>
      <c r="G92" s="205"/>
      <c r="H92" s="205"/>
      <c r="I92" s="205"/>
      <c r="J92" s="205"/>
      <c r="K92" s="205" t="s">
        <v>134</v>
      </c>
      <c r="L92" s="205"/>
      <c r="M92" s="2"/>
      <c r="N92" s="2"/>
    </row>
    <row r="93" spans="1:14" ht="15.75" x14ac:dyDescent="0.2">
      <c r="E93" s="207" t="s">
        <v>147</v>
      </c>
      <c r="F93" s="85"/>
      <c r="G93" s="85"/>
      <c r="H93" s="208" t="s">
        <v>149</v>
      </c>
      <c r="I93" s="208"/>
      <c r="J93" s="208"/>
      <c r="K93" s="208"/>
      <c r="L93" s="208"/>
    </row>
    <row r="96" spans="1:14" x14ac:dyDescent="0.2">
      <c r="F96" s="1"/>
    </row>
  </sheetData>
  <mergeCells count="25">
    <mergeCell ref="H93:L93"/>
    <mergeCell ref="D21:N21"/>
    <mergeCell ref="D48:E48"/>
    <mergeCell ref="D49:N49"/>
    <mergeCell ref="D62:E62"/>
    <mergeCell ref="D85:E85"/>
    <mergeCell ref="D12:N12"/>
    <mergeCell ref="E8:E9"/>
    <mergeCell ref="D17:E17"/>
    <mergeCell ref="D19:N19"/>
    <mergeCell ref="D20:E20"/>
    <mergeCell ref="K8:L8"/>
    <mergeCell ref="D7:N7"/>
    <mergeCell ref="D8:D9"/>
    <mergeCell ref="F8:G8"/>
    <mergeCell ref="H8:I8"/>
    <mergeCell ref="M8:N8"/>
    <mergeCell ref="D91:N91"/>
    <mergeCell ref="D63:N63"/>
    <mergeCell ref="D77:E77"/>
    <mergeCell ref="D78:N78"/>
    <mergeCell ref="D81:E81"/>
    <mergeCell ref="D82:N82"/>
    <mergeCell ref="D86:E86"/>
    <mergeCell ref="D87:E87"/>
  </mergeCells>
  <pageMargins left="0.7" right="0.7" top="0.75" bottom="0.75" header="0.3" footer="0.3"/>
  <pageSetup paperSize="8" scale="57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AD00D-7017-41D6-8426-B3F125425BBB}">
  <sheetPr>
    <tabColor rgb="FF92D050"/>
  </sheetPr>
  <dimension ref="A4:N96"/>
  <sheetViews>
    <sheetView zoomScale="90" zoomScaleNormal="90" workbookViewId="0">
      <selection activeCell="D92" sqref="D92:K93"/>
    </sheetView>
  </sheetViews>
  <sheetFormatPr defaultRowHeight="12.75" x14ac:dyDescent="0.2"/>
  <cols>
    <col min="4" max="4" width="52.83203125" customWidth="1"/>
    <col min="5" max="5" width="18.1640625" customWidth="1"/>
    <col min="6" max="6" width="0" hidden="1" customWidth="1"/>
    <col min="7" max="7" width="17.1640625" customWidth="1"/>
    <col min="8" max="9" width="0" hidden="1" customWidth="1"/>
    <col min="10" max="11" width="16.83203125" customWidth="1"/>
    <col min="12" max="12" width="17.83203125" customWidth="1"/>
    <col min="13" max="13" width="0" hidden="1" customWidth="1"/>
  </cols>
  <sheetData>
    <row r="4" spans="2:13" ht="15.75" x14ac:dyDescent="0.2">
      <c r="B4" s="7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</row>
    <row r="5" spans="2:13" ht="15.75" x14ac:dyDescent="0.2">
      <c r="B5" s="7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</row>
    <row r="6" spans="2:13" ht="15.75" x14ac:dyDescent="0.2">
      <c r="B6" s="7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</row>
    <row r="7" spans="2:13" ht="81.75" customHeight="1" x14ac:dyDescent="0.2">
      <c r="B7" s="7"/>
      <c r="C7" s="203" t="s">
        <v>137</v>
      </c>
      <c r="D7" s="204"/>
      <c r="E7" s="204"/>
      <c r="F7" s="204"/>
      <c r="G7" s="204"/>
      <c r="H7" s="204"/>
      <c r="I7" s="204"/>
      <c r="J7" s="204"/>
      <c r="K7" s="204"/>
      <c r="L7" s="204"/>
      <c r="M7" s="204"/>
    </row>
    <row r="8" spans="2:13" ht="78.75" x14ac:dyDescent="0.2">
      <c r="B8" s="7"/>
      <c r="C8" s="177" t="s">
        <v>0</v>
      </c>
      <c r="D8" s="179" t="s">
        <v>1</v>
      </c>
      <c r="E8" s="181" t="s">
        <v>2</v>
      </c>
      <c r="F8" s="182"/>
      <c r="G8" s="181" t="s">
        <v>3</v>
      </c>
      <c r="H8" s="182"/>
      <c r="I8" s="129" t="s">
        <v>100</v>
      </c>
      <c r="J8" s="183" t="s">
        <v>4</v>
      </c>
      <c r="K8" s="183"/>
      <c r="L8" s="183" t="s">
        <v>5</v>
      </c>
      <c r="M8" s="183"/>
    </row>
    <row r="9" spans="2:13" ht="15.75" x14ac:dyDescent="0.2">
      <c r="B9" s="7"/>
      <c r="C9" s="178"/>
      <c r="D9" s="180"/>
      <c r="E9" s="44" t="s">
        <v>6</v>
      </c>
      <c r="F9" s="44" t="s">
        <v>7</v>
      </c>
      <c r="G9" s="44" t="s">
        <v>6</v>
      </c>
      <c r="H9" s="44" t="s">
        <v>7</v>
      </c>
      <c r="I9" s="44" t="s">
        <v>6</v>
      </c>
      <c r="J9" s="135" t="s">
        <v>122</v>
      </c>
      <c r="K9" s="136" t="s">
        <v>112</v>
      </c>
      <c r="L9" s="132" t="s">
        <v>6</v>
      </c>
      <c r="M9" s="84" t="s">
        <v>7</v>
      </c>
    </row>
    <row r="10" spans="2:13" ht="15.75" x14ac:dyDescent="0.2">
      <c r="B10" s="7"/>
      <c r="C10" s="45">
        <v>1</v>
      </c>
      <c r="D10" s="46">
        <v>2</v>
      </c>
      <c r="E10" s="46">
        <v>3</v>
      </c>
      <c r="F10" s="46">
        <v>4</v>
      </c>
      <c r="G10" s="46">
        <v>4</v>
      </c>
      <c r="H10" s="46">
        <v>6</v>
      </c>
      <c r="I10" s="46">
        <v>5</v>
      </c>
      <c r="J10" s="46">
        <v>5</v>
      </c>
      <c r="K10" s="134">
        <v>6</v>
      </c>
      <c r="L10" s="46">
        <v>7</v>
      </c>
      <c r="M10" s="47">
        <v>9</v>
      </c>
    </row>
    <row r="11" spans="2:13" ht="15.75" x14ac:dyDescent="0.25">
      <c r="B11" s="7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</row>
    <row r="12" spans="2:13" ht="15.75" x14ac:dyDescent="0.2">
      <c r="B12" s="7"/>
      <c r="C12" s="174" t="s">
        <v>107</v>
      </c>
      <c r="D12" s="175"/>
      <c r="E12" s="175"/>
      <c r="F12" s="175"/>
      <c r="G12" s="175"/>
      <c r="H12" s="175"/>
      <c r="I12" s="175"/>
      <c r="J12" s="175"/>
      <c r="K12" s="175"/>
      <c r="L12" s="175"/>
      <c r="M12" s="176"/>
    </row>
    <row r="13" spans="2:13" ht="15.75" x14ac:dyDescent="0.2">
      <c r="B13" s="7"/>
      <c r="C13" s="49">
        <v>1.1000000000000001</v>
      </c>
      <c r="D13" s="50" t="s">
        <v>8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1">
        <v>0</v>
      </c>
      <c r="M13" s="52">
        <v>0</v>
      </c>
    </row>
    <row r="14" spans="2:13" ht="15.75" x14ac:dyDescent="0.2">
      <c r="B14" s="7"/>
      <c r="C14" s="49">
        <v>1.2</v>
      </c>
      <c r="D14" s="50" t="s">
        <v>9</v>
      </c>
      <c r="E14" s="51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  <c r="M14" s="52">
        <v>0</v>
      </c>
    </row>
    <row r="15" spans="2:13" ht="31.5" x14ac:dyDescent="0.2">
      <c r="B15" s="7"/>
      <c r="C15" s="49">
        <v>1.3</v>
      </c>
      <c r="D15" s="50" t="s">
        <v>10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  <c r="M15" s="52">
        <v>0</v>
      </c>
    </row>
    <row r="16" spans="2:13" ht="15.75" x14ac:dyDescent="0.2">
      <c r="B16" s="7"/>
      <c r="C16" s="49">
        <v>1.4</v>
      </c>
      <c r="D16" s="50" t="s">
        <v>11</v>
      </c>
      <c r="E16" s="51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2">
        <v>0</v>
      </c>
    </row>
    <row r="17" spans="2:13" ht="15.75" x14ac:dyDescent="0.2">
      <c r="B17" s="7"/>
      <c r="C17" s="171" t="s">
        <v>12</v>
      </c>
      <c r="D17" s="172"/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4">
        <v>0</v>
      </c>
    </row>
    <row r="18" spans="2:13" ht="15.75" x14ac:dyDescent="0.25">
      <c r="B18" s="7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</row>
    <row r="19" spans="2:13" ht="15.75" x14ac:dyDescent="0.2">
      <c r="B19" s="7"/>
      <c r="C19" s="174" t="s">
        <v>102</v>
      </c>
      <c r="D19" s="175"/>
      <c r="E19" s="175"/>
      <c r="F19" s="175"/>
      <c r="G19" s="175"/>
      <c r="H19" s="175"/>
      <c r="I19" s="175"/>
      <c r="J19" s="175"/>
      <c r="K19" s="175"/>
      <c r="L19" s="175"/>
      <c r="M19" s="176"/>
    </row>
    <row r="20" spans="2:13" ht="15.75" x14ac:dyDescent="0.2">
      <c r="B20" s="7"/>
      <c r="C20" s="171" t="s">
        <v>13</v>
      </c>
      <c r="D20" s="172"/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4">
        <v>0</v>
      </c>
    </row>
    <row r="21" spans="2:13" ht="15.75" x14ac:dyDescent="0.2">
      <c r="B21" s="7"/>
      <c r="C21" s="174" t="s">
        <v>130</v>
      </c>
      <c r="D21" s="175"/>
      <c r="E21" s="175"/>
      <c r="F21" s="175"/>
      <c r="G21" s="175"/>
      <c r="H21" s="175"/>
      <c r="I21" s="175"/>
      <c r="J21" s="175"/>
      <c r="K21" s="175"/>
      <c r="L21" s="175"/>
      <c r="M21" s="176"/>
    </row>
    <row r="22" spans="2:13" ht="15.75" x14ac:dyDescent="0.2">
      <c r="B22" s="7"/>
      <c r="C22" s="15">
        <v>3.1</v>
      </c>
      <c r="D22" s="16" t="s">
        <v>14</v>
      </c>
      <c r="E22" s="17">
        <v>1666.67</v>
      </c>
      <c r="F22" s="17"/>
      <c r="G22" s="17">
        <v>0</v>
      </c>
      <c r="H22" s="17">
        <v>0</v>
      </c>
      <c r="I22" s="17">
        <v>1666.67</v>
      </c>
      <c r="J22" s="17">
        <f t="shared" ref="J22:J27" si="0">E22*0.19</f>
        <v>316.66730000000001</v>
      </c>
      <c r="K22" s="17">
        <v>0</v>
      </c>
      <c r="L22" s="17">
        <f t="shared" ref="L22:L27" si="1">E22+G22+J22</f>
        <v>1983.3373000000001</v>
      </c>
      <c r="M22" s="18"/>
    </row>
    <row r="23" spans="2:13" ht="15.75" x14ac:dyDescent="0.2">
      <c r="B23" s="7"/>
      <c r="C23" s="19" t="s">
        <v>15</v>
      </c>
      <c r="D23" s="16" t="s">
        <v>16</v>
      </c>
      <c r="E23" s="17">
        <v>1666.67</v>
      </c>
      <c r="F23" s="17"/>
      <c r="G23" s="17">
        <v>0</v>
      </c>
      <c r="H23" s="17">
        <v>0</v>
      </c>
      <c r="I23" s="17">
        <v>1666.67</v>
      </c>
      <c r="J23" s="17">
        <f t="shared" si="0"/>
        <v>316.66730000000001</v>
      </c>
      <c r="K23" s="17">
        <v>0</v>
      </c>
      <c r="L23" s="17">
        <f t="shared" si="1"/>
        <v>1983.3373000000001</v>
      </c>
      <c r="M23" s="18"/>
    </row>
    <row r="24" spans="2:13" ht="15.75" x14ac:dyDescent="0.2">
      <c r="B24" s="7"/>
      <c r="C24" s="19" t="s">
        <v>17</v>
      </c>
      <c r="D24" s="16" t="s">
        <v>18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f t="shared" si="0"/>
        <v>0</v>
      </c>
      <c r="K24" s="17">
        <v>0</v>
      </c>
      <c r="L24" s="17">
        <f t="shared" si="1"/>
        <v>0</v>
      </c>
      <c r="M24" s="18">
        <v>0</v>
      </c>
    </row>
    <row r="25" spans="2:13" ht="15.75" x14ac:dyDescent="0.2">
      <c r="B25" s="7"/>
      <c r="C25" s="19" t="s">
        <v>19</v>
      </c>
      <c r="D25" s="16" t="s">
        <v>20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f t="shared" si="0"/>
        <v>0</v>
      </c>
      <c r="K25" s="17">
        <v>0</v>
      </c>
      <c r="L25" s="17">
        <f t="shared" si="1"/>
        <v>0</v>
      </c>
      <c r="M25" s="18">
        <v>0</v>
      </c>
    </row>
    <row r="26" spans="2:13" ht="31.5" x14ac:dyDescent="0.2">
      <c r="B26" s="7"/>
      <c r="C26" s="20">
        <v>3.2</v>
      </c>
      <c r="D26" s="21" t="s">
        <v>21</v>
      </c>
      <c r="E26" s="22">
        <v>166.66666666666666</v>
      </c>
      <c r="F26" s="22"/>
      <c r="G26" s="22">
        <v>0</v>
      </c>
      <c r="H26" s="22">
        <v>0</v>
      </c>
      <c r="I26" s="23">
        <v>166.67</v>
      </c>
      <c r="J26" s="17">
        <f t="shared" si="0"/>
        <v>31.666666666666664</v>
      </c>
      <c r="K26" s="17">
        <v>0</v>
      </c>
      <c r="L26" s="17">
        <f t="shared" si="1"/>
        <v>198.33333333333331</v>
      </c>
      <c r="M26" s="24"/>
    </row>
    <row r="27" spans="2:13" ht="15.75" x14ac:dyDescent="0.2">
      <c r="B27" s="7"/>
      <c r="C27" s="15">
        <v>3.3</v>
      </c>
      <c r="D27" s="16" t="s">
        <v>22</v>
      </c>
      <c r="E27" s="17">
        <v>1250</v>
      </c>
      <c r="F27" s="17"/>
      <c r="G27" s="17">
        <v>0</v>
      </c>
      <c r="H27" s="17">
        <v>0</v>
      </c>
      <c r="I27" s="17">
        <v>1250</v>
      </c>
      <c r="J27" s="17">
        <f t="shared" si="0"/>
        <v>237.5</v>
      </c>
      <c r="K27" s="17">
        <v>0</v>
      </c>
      <c r="L27" s="17">
        <f t="shared" si="1"/>
        <v>1487.5</v>
      </c>
      <c r="M27" s="18"/>
    </row>
    <row r="28" spans="2:13" ht="31.5" x14ac:dyDescent="0.2">
      <c r="B28" s="7"/>
      <c r="C28" s="15">
        <v>3.4</v>
      </c>
      <c r="D28" s="16" t="s">
        <v>23</v>
      </c>
      <c r="E28" s="17">
        <f>E29+E30</f>
        <v>4666.67</v>
      </c>
      <c r="F28" s="17"/>
      <c r="G28" s="17">
        <v>0</v>
      </c>
      <c r="H28" s="17">
        <v>0</v>
      </c>
      <c r="I28" s="17">
        <v>2000</v>
      </c>
      <c r="J28" s="17">
        <f>J29+K30</f>
        <v>966.66729999999995</v>
      </c>
      <c r="K28" s="17"/>
      <c r="L28" s="17">
        <f>L29+L30</f>
        <v>5633.3373000000001</v>
      </c>
      <c r="M28" s="18"/>
    </row>
    <row r="29" spans="2:13" ht="31.5" x14ac:dyDescent="0.2">
      <c r="B29" s="7"/>
      <c r="C29" s="15" t="s">
        <v>113</v>
      </c>
      <c r="D29" s="16" t="s">
        <v>119</v>
      </c>
      <c r="E29" s="17">
        <v>666.67</v>
      </c>
      <c r="F29" s="17"/>
      <c r="G29" s="17">
        <v>0</v>
      </c>
      <c r="H29" s="17"/>
      <c r="I29" s="17"/>
      <c r="J29" s="17">
        <f>E29*0.19</f>
        <v>126.6673</v>
      </c>
      <c r="K29" s="17">
        <v>0</v>
      </c>
      <c r="L29" s="17">
        <f>E29+G29+J29</f>
        <v>793.33729999999991</v>
      </c>
      <c r="M29" s="18"/>
    </row>
    <row r="30" spans="2:13" ht="31.5" x14ac:dyDescent="0.2">
      <c r="B30" s="7"/>
      <c r="C30" s="15" t="s">
        <v>114</v>
      </c>
      <c r="D30" s="16" t="s">
        <v>120</v>
      </c>
      <c r="E30" s="17">
        <v>4000</v>
      </c>
      <c r="F30" s="17"/>
      <c r="G30" s="17">
        <v>0</v>
      </c>
      <c r="H30" s="17"/>
      <c r="I30" s="17"/>
      <c r="J30" s="17">
        <v>0</v>
      </c>
      <c r="K30" s="17">
        <f>E30*0.21</f>
        <v>840</v>
      </c>
      <c r="L30" s="17">
        <f>+E30+G30+J30+K30</f>
        <v>4840</v>
      </c>
      <c r="M30" s="18"/>
    </row>
    <row r="31" spans="2:13" ht="15.75" x14ac:dyDescent="0.2">
      <c r="B31" s="7"/>
      <c r="C31" s="15">
        <v>3.5</v>
      </c>
      <c r="D31" s="16" t="s">
        <v>24</v>
      </c>
      <c r="E31" s="17">
        <f>E32+E33+E34+E35+E36+E37</f>
        <v>48331.67</v>
      </c>
      <c r="F31" s="17"/>
      <c r="G31" s="17">
        <v>0</v>
      </c>
      <c r="H31" s="17">
        <v>0</v>
      </c>
      <c r="I31" s="17">
        <v>48164.17</v>
      </c>
      <c r="J31" s="17">
        <f t="shared" ref="J31:J37" si="2">E31*0.19</f>
        <v>9183.0172999999995</v>
      </c>
      <c r="K31" s="17">
        <v>0</v>
      </c>
      <c r="L31" s="17">
        <f t="shared" ref="L31:L38" si="3">E31+G31+J31</f>
        <v>57514.687299999998</v>
      </c>
      <c r="M31" s="18"/>
    </row>
    <row r="32" spans="2:13" ht="15.75" x14ac:dyDescent="0.2">
      <c r="B32" s="7"/>
      <c r="C32" s="19" t="s">
        <v>25</v>
      </c>
      <c r="D32" s="16" t="s">
        <v>26</v>
      </c>
      <c r="E32" s="17">
        <v>0</v>
      </c>
      <c r="F32" s="17"/>
      <c r="G32" s="17">
        <v>0</v>
      </c>
      <c r="H32" s="17">
        <v>0</v>
      </c>
      <c r="I32" s="17">
        <v>0</v>
      </c>
      <c r="J32" s="17">
        <f t="shared" si="2"/>
        <v>0</v>
      </c>
      <c r="K32" s="17">
        <v>0</v>
      </c>
      <c r="L32" s="17">
        <f t="shared" si="3"/>
        <v>0</v>
      </c>
      <c r="M32" s="18"/>
    </row>
    <row r="33" spans="2:13" ht="15.75" x14ac:dyDescent="0.2">
      <c r="B33" s="7"/>
      <c r="C33" s="19" t="s">
        <v>27</v>
      </c>
      <c r="D33" s="16" t="s">
        <v>28</v>
      </c>
      <c r="E33" s="17">
        <v>0</v>
      </c>
      <c r="F33" s="17"/>
      <c r="G33" s="17">
        <v>0</v>
      </c>
      <c r="H33" s="17">
        <v>0</v>
      </c>
      <c r="I33" s="17">
        <v>0</v>
      </c>
      <c r="J33" s="17">
        <f t="shared" si="2"/>
        <v>0</v>
      </c>
      <c r="K33" s="17">
        <v>0</v>
      </c>
      <c r="L33" s="17">
        <f t="shared" si="3"/>
        <v>0</v>
      </c>
      <c r="M33" s="18"/>
    </row>
    <row r="34" spans="2:13" ht="31.5" x14ac:dyDescent="0.2">
      <c r="B34" s="7"/>
      <c r="C34" s="19" t="s">
        <v>29</v>
      </c>
      <c r="D34" s="16" t="s">
        <v>30</v>
      </c>
      <c r="E34" s="17">
        <v>5000</v>
      </c>
      <c r="F34" s="17"/>
      <c r="G34" s="17">
        <v>0</v>
      </c>
      <c r="H34" s="17">
        <v>0</v>
      </c>
      <c r="I34" s="17">
        <v>5000</v>
      </c>
      <c r="J34" s="17">
        <f t="shared" si="2"/>
        <v>950</v>
      </c>
      <c r="K34" s="17">
        <v>0</v>
      </c>
      <c r="L34" s="17">
        <f t="shared" si="3"/>
        <v>5950</v>
      </c>
      <c r="M34" s="18"/>
    </row>
    <row r="35" spans="2:13" ht="31.5" x14ac:dyDescent="0.2">
      <c r="B35" s="9"/>
      <c r="C35" s="19" t="s">
        <v>31</v>
      </c>
      <c r="D35" s="16" t="s">
        <v>32</v>
      </c>
      <c r="E35" s="53">
        <v>166.67</v>
      </c>
      <c r="F35" s="53"/>
      <c r="G35" s="53">
        <v>0</v>
      </c>
      <c r="H35" s="53"/>
      <c r="I35" s="53">
        <v>1500</v>
      </c>
      <c r="J35" s="53">
        <f t="shared" si="2"/>
        <v>31.667299999999997</v>
      </c>
      <c r="K35" s="53">
        <v>0</v>
      </c>
      <c r="L35" s="53">
        <f t="shared" si="3"/>
        <v>198.33729999999997</v>
      </c>
      <c r="M35" s="54"/>
    </row>
    <row r="36" spans="2:13" ht="31.5" x14ac:dyDescent="0.2">
      <c r="B36" s="7"/>
      <c r="C36" s="19" t="s">
        <v>33</v>
      </c>
      <c r="D36" s="16" t="s">
        <v>34</v>
      </c>
      <c r="E36" s="17">
        <v>5500.83</v>
      </c>
      <c r="F36" s="17"/>
      <c r="G36" s="17">
        <v>0</v>
      </c>
      <c r="H36" s="17"/>
      <c r="I36" s="17">
        <v>5500</v>
      </c>
      <c r="J36" s="17">
        <f t="shared" si="2"/>
        <v>1045.1577</v>
      </c>
      <c r="K36" s="17">
        <v>0</v>
      </c>
      <c r="L36" s="17">
        <f t="shared" si="3"/>
        <v>6545.9876999999997</v>
      </c>
      <c r="M36" s="18"/>
    </row>
    <row r="37" spans="2:13" ht="15.75" x14ac:dyDescent="0.2">
      <c r="B37" s="7"/>
      <c r="C37" s="19" t="s">
        <v>35</v>
      </c>
      <c r="D37" s="16" t="s">
        <v>36</v>
      </c>
      <c r="E37" s="17">
        <v>37664.17</v>
      </c>
      <c r="F37" s="17"/>
      <c r="G37" s="17">
        <v>0</v>
      </c>
      <c r="H37" s="17"/>
      <c r="I37" s="17">
        <v>36164.17</v>
      </c>
      <c r="J37" s="17">
        <f t="shared" si="2"/>
        <v>7156.1922999999997</v>
      </c>
      <c r="K37" s="17">
        <v>0</v>
      </c>
      <c r="L37" s="17">
        <f t="shared" si="3"/>
        <v>44820.362300000001</v>
      </c>
      <c r="M37" s="18"/>
    </row>
    <row r="38" spans="2:13" ht="15.75" x14ac:dyDescent="0.2">
      <c r="B38" s="7"/>
      <c r="C38" s="15">
        <v>3.6</v>
      </c>
      <c r="D38" s="16" t="s">
        <v>37</v>
      </c>
      <c r="E38" s="17">
        <v>0</v>
      </c>
      <c r="F38" s="17"/>
      <c r="G38" s="17">
        <v>5833.33</v>
      </c>
      <c r="H38" s="17"/>
      <c r="I38" s="17">
        <v>6000</v>
      </c>
      <c r="J38" s="17">
        <f>(E38+G38)*0.19</f>
        <v>1108.3326999999999</v>
      </c>
      <c r="K38" s="17">
        <v>0</v>
      </c>
      <c r="L38" s="17">
        <f t="shared" si="3"/>
        <v>6941.6626999999999</v>
      </c>
      <c r="M38" s="18"/>
    </row>
    <row r="39" spans="2:13" ht="15.75" x14ac:dyDescent="0.2">
      <c r="B39" s="7"/>
      <c r="C39" s="15">
        <v>3.7</v>
      </c>
      <c r="D39" s="16" t="s">
        <v>38</v>
      </c>
      <c r="E39" s="17">
        <v>0</v>
      </c>
      <c r="F39" s="17"/>
      <c r="G39" s="17">
        <v>5000</v>
      </c>
      <c r="H39" s="17"/>
      <c r="I39" s="17">
        <v>5000</v>
      </c>
      <c r="J39" s="17">
        <v>0</v>
      </c>
      <c r="K39" s="17">
        <f>G39*0.21</f>
        <v>1050</v>
      </c>
      <c r="L39" s="17">
        <f>E39+G39+J39+K39</f>
        <v>6050</v>
      </c>
      <c r="M39" s="18"/>
    </row>
    <row r="40" spans="2:13" ht="31.5" x14ac:dyDescent="0.2">
      <c r="B40" s="7"/>
      <c r="C40" s="19" t="s">
        <v>39</v>
      </c>
      <c r="D40" s="16" t="s">
        <v>40</v>
      </c>
      <c r="E40" s="17">
        <v>0</v>
      </c>
      <c r="F40" s="17"/>
      <c r="G40" s="17">
        <v>4000</v>
      </c>
      <c r="H40" s="17"/>
      <c r="I40" s="17">
        <v>4000</v>
      </c>
      <c r="J40" s="17">
        <v>0</v>
      </c>
      <c r="K40" s="17">
        <f>G40*0.21</f>
        <v>840</v>
      </c>
      <c r="L40" s="17">
        <f>E40+G40+J40+K40</f>
        <v>4840</v>
      </c>
      <c r="M40" s="18"/>
    </row>
    <row r="41" spans="2:13" ht="15.75" x14ac:dyDescent="0.2">
      <c r="B41" s="7"/>
      <c r="C41" s="19" t="s">
        <v>41</v>
      </c>
      <c r="D41" s="16" t="s">
        <v>42</v>
      </c>
      <c r="E41" s="17">
        <v>0</v>
      </c>
      <c r="F41" s="17"/>
      <c r="G41" s="17">
        <v>1000</v>
      </c>
      <c r="H41" s="17"/>
      <c r="I41" s="17">
        <v>1000</v>
      </c>
      <c r="J41" s="17">
        <v>0</v>
      </c>
      <c r="K41" s="17">
        <f>G41*0.21</f>
        <v>210</v>
      </c>
      <c r="L41" s="17">
        <f>E41+G41+J41+K41</f>
        <v>1210</v>
      </c>
      <c r="M41" s="18"/>
    </row>
    <row r="42" spans="2:13" ht="15.75" x14ac:dyDescent="0.2">
      <c r="B42" s="7"/>
      <c r="C42" s="15">
        <v>3.8</v>
      </c>
      <c r="D42" s="16" t="s">
        <v>43</v>
      </c>
      <c r="E42" s="17">
        <f>E43+E46+E47</f>
        <v>24341.679999999997</v>
      </c>
      <c r="F42" s="17"/>
      <c r="G42" s="17">
        <v>0</v>
      </c>
      <c r="H42" s="17"/>
      <c r="I42" s="17">
        <v>27566.67</v>
      </c>
      <c r="J42" s="17">
        <v>0</v>
      </c>
      <c r="K42" s="17">
        <f>E42*0.21</f>
        <v>5111.7527999999993</v>
      </c>
      <c r="L42" s="17">
        <f>E42+G42+J42+K42</f>
        <v>29453.432799999995</v>
      </c>
      <c r="M42" s="18"/>
    </row>
    <row r="43" spans="2:13" ht="15.75" x14ac:dyDescent="0.2">
      <c r="B43" s="7"/>
      <c r="C43" s="19" t="s">
        <v>44</v>
      </c>
      <c r="D43" s="16" t="s">
        <v>45</v>
      </c>
      <c r="E43" s="17">
        <v>1666.67</v>
      </c>
      <c r="F43" s="17"/>
      <c r="G43" s="17">
        <v>0</v>
      </c>
      <c r="H43" s="17"/>
      <c r="I43" s="17">
        <v>1666.67</v>
      </c>
      <c r="J43" s="17">
        <v>0</v>
      </c>
      <c r="K43" s="17">
        <f t="shared" ref="K43:K47" si="4">E43*0.21</f>
        <v>350.00069999999999</v>
      </c>
      <c r="L43" s="17">
        <f t="shared" ref="L43:L45" si="5">E43+G43+J43+K43</f>
        <v>2016.6707000000001</v>
      </c>
      <c r="M43" s="18"/>
    </row>
    <row r="44" spans="2:13" ht="15.75" x14ac:dyDescent="0.2">
      <c r="B44" s="7"/>
      <c r="C44" s="19" t="s">
        <v>46</v>
      </c>
      <c r="D44" s="16" t="s">
        <v>47</v>
      </c>
      <c r="E44" s="17">
        <v>1000</v>
      </c>
      <c r="F44" s="17"/>
      <c r="G44" s="17">
        <v>0</v>
      </c>
      <c r="H44" s="17"/>
      <c r="I44" s="17">
        <v>1000</v>
      </c>
      <c r="J44" s="17">
        <v>0</v>
      </c>
      <c r="K44" s="17">
        <f t="shared" si="4"/>
        <v>210</v>
      </c>
      <c r="L44" s="17">
        <f t="shared" si="5"/>
        <v>1210</v>
      </c>
      <c r="M44" s="18"/>
    </row>
    <row r="45" spans="2:13" ht="47.25" x14ac:dyDescent="0.2">
      <c r="B45" s="7"/>
      <c r="C45" s="19" t="s">
        <v>48</v>
      </c>
      <c r="D45" s="16" t="s">
        <v>49</v>
      </c>
      <c r="E45" s="17">
        <v>666.67</v>
      </c>
      <c r="F45" s="17"/>
      <c r="G45" s="17">
        <v>0</v>
      </c>
      <c r="H45" s="17"/>
      <c r="I45" s="17">
        <v>666.67</v>
      </c>
      <c r="J45" s="17">
        <v>0</v>
      </c>
      <c r="K45" s="17">
        <f t="shared" si="4"/>
        <v>140.00069999999999</v>
      </c>
      <c r="L45" s="17">
        <f t="shared" si="5"/>
        <v>806.6706999999999</v>
      </c>
      <c r="M45" s="18"/>
    </row>
    <row r="46" spans="2:13" ht="15.75" x14ac:dyDescent="0.2">
      <c r="B46" s="7"/>
      <c r="C46" s="19" t="s">
        <v>50</v>
      </c>
      <c r="D46" s="16" t="s">
        <v>51</v>
      </c>
      <c r="E46" s="17">
        <v>20416.669999999998</v>
      </c>
      <c r="F46" s="17"/>
      <c r="G46" s="17">
        <v>0</v>
      </c>
      <c r="H46" s="17"/>
      <c r="I46" s="17">
        <v>21500</v>
      </c>
      <c r="J46" s="17">
        <v>0</v>
      </c>
      <c r="K46" s="17">
        <f t="shared" si="4"/>
        <v>4287.5006999999996</v>
      </c>
      <c r="L46" s="17">
        <f>E46+G46+J46+K46</f>
        <v>24704.170699999999</v>
      </c>
      <c r="M46" s="18"/>
    </row>
    <row r="47" spans="2:13" ht="47.25" x14ac:dyDescent="0.2">
      <c r="B47" s="7"/>
      <c r="C47" s="25" t="s">
        <v>52</v>
      </c>
      <c r="D47" s="21" t="s">
        <v>53</v>
      </c>
      <c r="E47" s="22">
        <v>2258.34</v>
      </c>
      <c r="F47" s="22"/>
      <c r="G47" s="22">
        <v>0</v>
      </c>
      <c r="H47" s="22"/>
      <c r="I47" s="23">
        <v>4400</v>
      </c>
      <c r="J47" s="17">
        <v>0</v>
      </c>
      <c r="K47" s="17">
        <f t="shared" si="4"/>
        <v>474.25139999999999</v>
      </c>
      <c r="L47" s="17">
        <f>E47+G47+J47+K47</f>
        <v>2732.5914000000002</v>
      </c>
      <c r="M47" s="24"/>
    </row>
    <row r="48" spans="2:13" s="126" customFormat="1" ht="15.75" x14ac:dyDescent="0.2">
      <c r="B48" s="149"/>
      <c r="C48" s="167" t="s">
        <v>54</v>
      </c>
      <c r="D48" s="168"/>
      <c r="E48" s="26">
        <f>E22+E26+E27+E28+E31+E38+E39+E42</f>
        <v>80423.356666666659</v>
      </c>
      <c r="F48" s="26"/>
      <c r="G48" s="26">
        <f>G22+G26+G27+G28+G31+G38+G39+G42</f>
        <v>10833.33</v>
      </c>
      <c r="H48" s="26"/>
      <c r="I48" s="26">
        <f>I22+I26+I27+I28+I31+I38+I39+I42</f>
        <v>91814.18</v>
      </c>
      <c r="J48" s="26">
        <f>J38+J31+J29+J27+J22+J26</f>
        <v>11003.851266666663</v>
      </c>
      <c r="K48" s="26">
        <f>K42+K39+K30</f>
        <v>7001.7527999999993</v>
      </c>
      <c r="L48" s="26">
        <f>E48+G48+J48+K48</f>
        <v>109262.29073333333</v>
      </c>
      <c r="M48" s="27"/>
    </row>
    <row r="49" spans="1:14" ht="15.75" x14ac:dyDescent="0.2">
      <c r="B49" s="7"/>
      <c r="C49" s="164" t="s">
        <v>103</v>
      </c>
      <c r="D49" s="165"/>
      <c r="E49" s="165"/>
      <c r="F49" s="165"/>
      <c r="G49" s="165"/>
      <c r="H49" s="165"/>
      <c r="I49" s="165"/>
      <c r="J49" s="165"/>
      <c r="K49" s="165"/>
      <c r="L49" s="165"/>
      <c r="M49" s="166"/>
    </row>
    <row r="50" spans="1:14" ht="15.75" x14ac:dyDescent="0.2">
      <c r="A50" s="98"/>
      <c r="B50" s="95"/>
      <c r="C50" s="99">
        <v>4.0999999999999996</v>
      </c>
      <c r="D50" s="50" t="s">
        <v>55</v>
      </c>
      <c r="E50" s="100">
        <f>E51+E52+E53+E54</f>
        <v>4311146.8600000003</v>
      </c>
      <c r="F50" s="100"/>
      <c r="G50" s="101">
        <v>0</v>
      </c>
      <c r="H50" s="101"/>
      <c r="I50" s="101">
        <v>2406860.88</v>
      </c>
      <c r="J50" s="101">
        <v>0</v>
      </c>
      <c r="K50" s="101">
        <f>E50*0.21</f>
        <v>905340.8406</v>
      </c>
      <c r="L50" s="100">
        <f>E50+G50+J50+K50</f>
        <v>5216487.7006000001</v>
      </c>
      <c r="M50" s="102"/>
      <c r="N50" s="98"/>
    </row>
    <row r="51" spans="1:14" ht="15.75" x14ac:dyDescent="0.2">
      <c r="A51" s="98"/>
      <c r="B51" s="95"/>
      <c r="C51" s="103" t="s">
        <v>56</v>
      </c>
      <c r="D51" s="104" t="s">
        <v>57</v>
      </c>
      <c r="E51" s="105">
        <v>4004805.74</v>
      </c>
      <c r="F51" s="105"/>
      <c r="G51" s="101">
        <v>0</v>
      </c>
      <c r="H51" s="106"/>
      <c r="I51" s="106">
        <v>2403510.35</v>
      </c>
      <c r="J51" s="101">
        <v>0</v>
      </c>
      <c r="K51" s="101">
        <f t="shared" ref="K51:K62" si="6">E51*0.21</f>
        <v>841009.20539999998</v>
      </c>
      <c r="L51" s="100">
        <f t="shared" ref="L51:L62" si="7">E51+G51+J51+K51</f>
        <v>4845814.9454000005</v>
      </c>
      <c r="M51" s="107"/>
      <c r="N51" s="98"/>
    </row>
    <row r="52" spans="1:14" ht="15.75" x14ac:dyDescent="0.2">
      <c r="A52" s="98"/>
      <c r="B52" s="95"/>
      <c r="C52" s="103" t="s">
        <v>58</v>
      </c>
      <c r="D52" s="104" t="s">
        <v>61</v>
      </c>
      <c r="E52" s="106">
        <f>4195.13+112.8</f>
        <v>4307.93</v>
      </c>
      <c r="F52" s="106"/>
      <c r="G52" s="101">
        <v>0</v>
      </c>
      <c r="H52" s="106"/>
      <c r="I52" s="106">
        <v>2929.96</v>
      </c>
      <c r="J52" s="101">
        <v>0</v>
      </c>
      <c r="K52" s="101">
        <f t="shared" si="6"/>
        <v>904.6653</v>
      </c>
      <c r="L52" s="100">
        <f t="shared" si="7"/>
        <v>5212.5953</v>
      </c>
      <c r="M52" s="108"/>
      <c r="N52" s="98"/>
    </row>
    <row r="53" spans="1:14" ht="15.75" x14ac:dyDescent="0.2">
      <c r="A53" s="98"/>
      <c r="B53" s="95"/>
      <c r="C53" s="103" t="s">
        <v>60</v>
      </c>
      <c r="D53" s="104" t="s">
        <v>59</v>
      </c>
      <c r="E53" s="105">
        <f>1443.79+75.2</f>
        <v>1518.99</v>
      </c>
      <c r="F53" s="106"/>
      <c r="G53" s="101">
        <v>0</v>
      </c>
      <c r="H53" s="106"/>
      <c r="I53" s="106">
        <v>420.57</v>
      </c>
      <c r="J53" s="101">
        <v>0</v>
      </c>
      <c r="K53" s="101">
        <f t="shared" si="6"/>
        <v>318.98789999999997</v>
      </c>
      <c r="L53" s="100">
        <f t="shared" si="7"/>
        <v>1837.9778999999999</v>
      </c>
      <c r="M53" s="108"/>
      <c r="N53" s="98"/>
    </row>
    <row r="54" spans="1:14" ht="15.75" x14ac:dyDescent="0.2">
      <c r="A54" s="98"/>
      <c r="B54" s="95"/>
      <c r="C54" s="103" t="s">
        <v>99</v>
      </c>
      <c r="D54" s="104" t="s">
        <v>64</v>
      </c>
      <c r="E54" s="33">
        <f>284534.1+15980.1</f>
        <v>300514.19999999995</v>
      </c>
      <c r="F54" s="106"/>
      <c r="G54" s="101">
        <v>0</v>
      </c>
      <c r="H54" s="106"/>
      <c r="I54" s="106">
        <v>0</v>
      </c>
      <c r="J54" s="101">
        <v>0</v>
      </c>
      <c r="K54" s="101">
        <f t="shared" si="6"/>
        <v>63107.981999999989</v>
      </c>
      <c r="L54" s="100">
        <f t="shared" si="7"/>
        <v>363622.18199999991</v>
      </c>
      <c r="M54" s="108"/>
      <c r="N54" s="98"/>
    </row>
    <row r="55" spans="1:14" s="8" customFormat="1" ht="31.5" x14ac:dyDescent="0.2">
      <c r="B55" s="7"/>
      <c r="C55" s="15">
        <v>4.2</v>
      </c>
      <c r="D55" s="16" t="s">
        <v>62</v>
      </c>
      <c r="E55" s="31">
        <f>E56</f>
        <v>84442.14</v>
      </c>
      <c r="F55" s="31"/>
      <c r="G55" s="17">
        <v>0</v>
      </c>
      <c r="H55" s="17"/>
      <c r="I55" s="17">
        <v>241989.85</v>
      </c>
      <c r="J55" s="17">
        <v>0</v>
      </c>
      <c r="K55" s="101">
        <f t="shared" si="6"/>
        <v>17732.849399999999</v>
      </c>
      <c r="L55" s="100">
        <f t="shared" si="7"/>
        <v>102174.98939999999</v>
      </c>
      <c r="M55" s="35"/>
    </row>
    <row r="56" spans="1:14" ht="15.75" x14ac:dyDescent="0.2">
      <c r="B56" s="7"/>
      <c r="C56" s="28" t="s">
        <v>63</v>
      </c>
      <c r="D56" s="29" t="s">
        <v>61</v>
      </c>
      <c r="E56" s="33">
        <v>84442.14</v>
      </c>
      <c r="F56" s="33"/>
      <c r="G56" s="17">
        <v>0</v>
      </c>
      <c r="H56" s="30"/>
      <c r="I56" s="30">
        <v>37507.370000000003</v>
      </c>
      <c r="J56" s="17">
        <v>0</v>
      </c>
      <c r="K56" s="101">
        <f t="shared" si="6"/>
        <v>17732.849399999999</v>
      </c>
      <c r="L56" s="100">
        <f t="shared" si="7"/>
        <v>102174.98939999999</v>
      </c>
      <c r="M56" s="34"/>
    </row>
    <row r="57" spans="1:14" ht="31.5" x14ac:dyDescent="0.2">
      <c r="B57" s="7"/>
      <c r="C57" s="15">
        <v>4.3</v>
      </c>
      <c r="D57" s="16" t="s">
        <v>66</v>
      </c>
      <c r="E57" s="31">
        <v>32000</v>
      </c>
      <c r="F57" s="31"/>
      <c r="G57" s="17">
        <v>0</v>
      </c>
      <c r="H57" s="17"/>
      <c r="I57" s="17">
        <v>75000</v>
      </c>
      <c r="J57" s="17">
        <v>0</v>
      </c>
      <c r="K57" s="101">
        <f t="shared" si="6"/>
        <v>6720</v>
      </c>
      <c r="L57" s="100">
        <f t="shared" si="7"/>
        <v>38720</v>
      </c>
      <c r="M57" s="35"/>
    </row>
    <row r="58" spans="1:14" ht="15.75" x14ac:dyDescent="0.2">
      <c r="B58" s="7"/>
      <c r="C58" s="28" t="s">
        <v>67</v>
      </c>
      <c r="D58" s="29" t="s">
        <v>61</v>
      </c>
      <c r="E58" s="33">
        <v>16000</v>
      </c>
      <c r="F58" s="33"/>
      <c r="G58" s="17">
        <v>0</v>
      </c>
      <c r="H58" s="30"/>
      <c r="I58" s="30">
        <v>75000</v>
      </c>
      <c r="J58" s="17">
        <v>0</v>
      </c>
      <c r="K58" s="101">
        <f t="shared" si="6"/>
        <v>3360</v>
      </c>
      <c r="L58" s="100">
        <f t="shared" si="7"/>
        <v>19360</v>
      </c>
      <c r="M58" s="34"/>
    </row>
    <row r="59" spans="1:14" ht="47.25" x14ac:dyDescent="0.2">
      <c r="B59" s="7"/>
      <c r="C59" s="15">
        <v>4.4000000000000004</v>
      </c>
      <c r="D59" s="16" t="s">
        <v>68</v>
      </c>
      <c r="E59" s="17">
        <v>0</v>
      </c>
      <c r="F59" s="17"/>
      <c r="G59" s="17">
        <v>0</v>
      </c>
      <c r="H59" s="17"/>
      <c r="I59" s="17">
        <v>0</v>
      </c>
      <c r="J59" s="17">
        <v>0</v>
      </c>
      <c r="K59" s="101">
        <f t="shared" si="6"/>
        <v>0</v>
      </c>
      <c r="L59" s="100">
        <f t="shared" si="7"/>
        <v>0</v>
      </c>
      <c r="M59" s="18"/>
    </row>
    <row r="60" spans="1:14" ht="15.75" x14ac:dyDescent="0.2">
      <c r="B60" s="7"/>
      <c r="C60" s="15">
        <v>4.5</v>
      </c>
      <c r="D60" s="16" t="s">
        <v>69</v>
      </c>
      <c r="E60" s="17">
        <v>0</v>
      </c>
      <c r="F60" s="17"/>
      <c r="G60" s="17">
        <v>0</v>
      </c>
      <c r="H60" s="17"/>
      <c r="I60" s="17">
        <v>0</v>
      </c>
      <c r="J60" s="17">
        <v>0</v>
      </c>
      <c r="K60" s="101">
        <f t="shared" si="6"/>
        <v>0</v>
      </c>
      <c r="L60" s="100">
        <f t="shared" si="7"/>
        <v>0</v>
      </c>
      <c r="M60" s="18"/>
    </row>
    <row r="61" spans="1:14" ht="15.75" x14ac:dyDescent="0.2">
      <c r="B61" s="7"/>
      <c r="C61" s="15">
        <v>4.5999999999999996</v>
      </c>
      <c r="D61" s="16" t="s">
        <v>70</v>
      </c>
      <c r="E61" s="17">
        <v>0</v>
      </c>
      <c r="F61" s="17"/>
      <c r="G61" s="17">
        <v>0</v>
      </c>
      <c r="H61" s="17"/>
      <c r="I61" s="17">
        <v>0</v>
      </c>
      <c r="J61" s="17">
        <v>0</v>
      </c>
      <c r="K61" s="101">
        <f t="shared" si="6"/>
        <v>0</v>
      </c>
      <c r="L61" s="100">
        <f t="shared" si="7"/>
        <v>0</v>
      </c>
      <c r="M61" s="18"/>
    </row>
    <row r="62" spans="1:14" s="127" customFormat="1" ht="15.75" x14ac:dyDescent="0.2">
      <c r="B62" s="151"/>
      <c r="C62" s="171" t="s">
        <v>71</v>
      </c>
      <c r="D62" s="172"/>
      <c r="E62" s="152">
        <f>E50+E55+E57+E59+E60+E61</f>
        <v>4427589</v>
      </c>
      <c r="F62" s="109"/>
      <c r="G62" s="110">
        <v>0</v>
      </c>
      <c r="H62" s="110"/>
      <c r="I62" s="110">
        <f>I50+I55+I57+I59+I60+I61</f>
        <v>2723850.73</v>
      </c>
      <c r="J62" s="110">
        <v>0</v>
      </c>
      <c r="K62" s="110">
        <f t="shared" si="6"/>
        <v>929793.69</v>
      </c>
      <c r="L62" s="109">
        <f t="shared" si="7"/>
        <v>5357382.6899999995</v>
      </c>
      <c r="M62" s="111"/>
    </row>
    <row r="63" spans="1:14" ht="15.75" x14ac:dyDescent="0.2">
      <c r="B63" s="7"/>
      <c r="C63" s="164" t="s">
        <v>104</v>
      </c>
      <c r="D63" s="165"/>
      <c r="E63" s="165"/>
      <c r="F63" s="165"/>
      <c r="G63" s="165"/>
      <c r="H63" s="165"/>
      <c r="I63" s="165"/>
      <c r="J63" s="165"/>
      <c r="K63" s="165"/>
      <c r="L63" s="165"/>
      <c r="M63" s="166"/>
    </row>
    <row r="64" spans="1:14" ht="15.75" x14ac:dyDescent="0.2">
      <c r="B64" s="7"/>
      <c r="C64" s="15">
        <v>5.0999999999999996</v>
      </c>
      <c r="D64" s="16" t="s">
        <v>72</v>
      </c>
      <c r="E64" s="31">
        <v>0</v>
      </c>
      <c r="F64" s="31"/>
      <c r="G64" s="17">
        <v>0</v>
      </c>
      <c r="H64" s="17"/>
      <c r="I64" s="17">
        <v>60000</v>
      </c>
      <c r="J64" s="17">
        <f>E64*0.21</f>
        <v>0</v>
      </c>
      <c r="K64" s="17">
        <v>0</v>
      </c>
      <c r="L64" s="31">
        <f t="shared" ref="L64:L74" si="8">E64+G64+J64</f>
        <v>0</v>
      </c>
      <c r="M64" s="35"/>
    </row>
    <row r="65" spans="2:13" ht="31.5" x14ac:dyDescent="0.2">
      <c r="B65" s="7"/>
      <c r="C65" s="19" t="s">
        <v>73</v>
      </c>
      <c r="D65" s="16" t="s">
        <v>74</v>
      </c>
      <c r="E65" s="31">
        <v>0</v>
      </c>
      <c r="F65" s="31"/>
      <c r="G65" s="17">
        <v>0</v>
      </c>
      <c r="H65" s="17"/>
      <c r="I65" s="17">
        <v>50000</v>
      </c>
      <c r="J65" s="17">
        <f>E65*0.21</f>
        <v>0</v>
      </c>
      <c r="K65" s="17">
        <v>0</v>
      </c>
      <c r="L65" s="31">
        <f t="shared" si="8"/>
        <v>0</v>
      </c>
      <c r="M65" s="35"/>
    </row>
    <row r="66" spans="2:13" ht="15.75" x14ac:dyDescent="0.2">
      <c r="B66" s="7"/>
      <c r="C66" s="25" t="s">
        <v>75</v>
      </c>
      <c r="D66" s="21" t="s">
        <v>76</v>
      </c>
      <c r="E66" s="36">
        <v>0</v>
      </c>
      <c r="F66" s="36"/>
      <c r="G66" s="17">
        <v>0</v>
      </c>
      <c r="H66" s="22"/>
      <c r="I66" s="23">
        <v>10000</v>
      </c>
      <c r="J66" s="17">
        <f>E66*0.21</f>
        <v>0</v>
      </c>
      <c r="K66" s="17">
        <v>0</v>
      </c>
      <c r="L66" s="31">
        <f t="shared" si="8"/>
        <v>0</v>
      </c>
      <c r="M66" s="37"/>
    </row>
    <row r="67" spans="2:13" s="98" customFormat="1" ht="15.75" x14ac:dyDescent="0.2">
      <c r="B67" s="95"/>
      <c r="C67" s="99">
        <v>5.2</v>
      </c>
      <c r="D67" s="50" t="s">
        <v>77</v>
      </c>
      <c r="E67" s="100">
        <f>E68+E69+E70+E71+E72</f>
        <v>48351.478999999999</v>
      </c>
      <c r="F67" s="100"/>
      <c r="G67" s="101">
        <v>0</v>
      </c>
      <c r="H67" s="101"/>
      <c r="I67" s="101">
        <v>26977.06</v>
      </c>
      <c r="J67" s="101">
        <f>J68+J69+J70+J71+J72</f>
        <v>0</v>
      </c>
      <c r="K67" s="101">
        <v>0</v>
      </c>
      <c r="L67" s="100">
        <f t="shared" si="8"/>
        <v>48351.478999999999</v>
      </c>
      <c r="M67" s="102"/>
    </row>
    <row r="68" spans="2:13" ht="31.5" x14ac:dyDescent="0.2">
      <c r="B68" s="7"/>
      <c r="C68" s="19" t="s">
        <v>78</v>
      </c>
      <c r="D68" s="16" t="s">
        <v>79</v>
      </c>
      <c r="E68" s="17">
        <v>0</v>
      </c>
      <c r="F68" s="17"/>
      <c r="G68" s="17">
        <v>0</v>
      </c>
      <c r="H68" s="17"/>
      <c r="I68" s="17">
        <v>0</v>
      </c>
      <c r="J68" s="17">
        <f>E68*0.21</f>
        <v>0</v>
      </c>
      <c r="K68" s="17">
        <v>0</v>
      </c>
      <c r="L68" s="31">
        <f t="shared" si="8"/>
        <v>0</v>
      </c>
      <c r="M68" s="18"/>
    </row>
    <row r="69" spans="2:13" s="98" customFormat="1" ht="31.5" x14ac:dyDescent="0.2">
      <c r="B69" s="95"/>
      <c r="C69" s="113" t="s">
        <v>80</v>
      </c>
      <c r="D69" s="50" t="s">
        <v>81</v>
      </c>
      <c r="E69" s="100">
        <f>E87*0.005</f>
        <v>21977.945</v>
      </c>
      <c r="F69" s="100"/>
      <c r="G69" s="101">
        <v>0</v>
      </c>
      <c r="H69" s="101"/>
      <c r="I69" s="101">
        <v>12262.3</v>
      </c>
      <c r="J69" s="101">
        <v>0</v>
      </c>
      <c r="K69" s="101">
        <v>0</v>
      </c>
      <c r="L69" s="100">
        <f t="shared" si="8"/>
        <v>21977.945</v>
      </c>
      <c r="M69" s="102"/>
    </row>
    <row r="70" spans="2:13" s="98" customFormat="1" ht="47.25" x14ac:dyDescent="0.2">
      <c r="B70" s="95"/>
      <c r="C70" s="113" t="s">
        <v>82</v>
      </c>
      <c r="D70" s="50" t="s">
        <v>83</v>
      </c>
      <c r="E70" s="100">
        <f>E87*0.001</f>
        <v>4395.5889999999999</v>
      </c>
      <c r="F70" s="101"/>
      <c r="G70" s="101">
        <v>0</v>
      </c>
      <c r="H70" s="101"/>
      <c r="I70" s="101">
        <v>2452.46</v>
      </c>
      <c r="J70" s="101">
        <v>0</v>
      </c>
      <c r="K70" s="101">
        <v>0</v>
      </c>
      <c r="L70" s="100">
        <f t="shared" si="8"/>
        <v>4395.5889999999999</v>
      </c>
      <c r="M70" s="112"/>
    </row>
    <row r="71" spans="2:13" s="98" customFormat="1" ht="31.5" x14ac:dyDescent="0.2">
      <c r="B71" s="95"/>
      <c r="C71" s="113" t="s">
        <v>84</v>
      </c>
      <c r="D71" s="50" t="s">
        <v>85</v>
      </c>
      <c r="E71" s="100">
        <f>E87*0.005</f>
        <v>21977.945</v>
      </c>
      <c r="F71" s="100"/>
      <c r="G71" s="101">
        <v>0</v>
      </c>
      <c r="H71" s="101"/>
      <c r="I71" s="101">
        <v>12262.3</v>
      </c>
      <c r="J71" s="101">
        <v>0</v>
      </c>
      <c r="K71" s="101">
        <v>0</v>
      </c>
      <c r="L71" s="100">
        <f t="shared" si="8"/>
        <v>21977.945</v>
      </c>
      <c r="M71" s="102"/>
    </row>
    <row r="72" spans="2:13" ht="31.5" x14ac:dyDescent="0.2">
      <c r="B72" s="95"/>
      <c r="C72" s="113" t="s">
        <v>86</v>
      </c>
      <c r="D72" s="50" t="s">
        <v>87</v>
      </c>
      <c r="E72" s="101">
        <v>0</v>
      </c>
      <c r="F72" s="101"/>
      <c r="G72" s="101">
        <v>0</v>
      </c>
      <c r="H72" s="101"/>
      <c r="I72" s="101">
        <v>0</v>
      </c>
      <c r="J72" s="101">
        <f>E72*0.21</f>
        <v>0</v>
      </c>
      <c r="K72" s="101">
        <v>0</v>
      </c>
      <c r="L72" s="100">
        <f t="shared" si="8"/>
        <v>0</v>
      </c>
      <c r="M72" s="112"/>
    </row>
    <row r="73" spans="2:13" ht="15.75" x14ac:dyDescent="0.2">
      <c r="B73" s="95"/>
      <c r="C73" s="99">
        <v>5.3</v>
      </c>
      <c r="D73" s="50" t="s">
        <v>88</v>
      </c>
      <c r="E73" s="100">
        <v>28493.75</v>
      </c>
      <c r="F73" s="100"/>
      <c r="G73" s="101">
        <v>0</v>
      </c>
      <c r="H73" s="101"/>
      <c r="I73" s="101">
        <v>242302.81</v>
      </c>
      <c r="J73" s="101">
        <v>0</v>
      </c>
      <c r="K73" s="101">
        <f>E73*0.21</f>
        <v>5983.6875</v>
      </c>
      <c r="L73" s="100">
        <f t="shared" si="8"/>
        <v>28493.75</v>
      </c>
      <c r="M73" s="102"/>
    </row>
    <row r="74" spans="2:13" ht="15.75" x14ac:dyDescent="0.2">
      <c r="B74" s="95"/>
      <c r="C74" s="99">
        <v>5.4</v>
      </c>
      <c r="D74" s="50" t="s">
        <v>89</v>
      </c>
      <c r="E74" s="100">
        <v>2000</v>
      </c>
      <c r="F74" s="101"/>
      <c r="G74" s="101">
        <v>0</v>
      </c>
      <c r="H74" s="101"/>
      <c r="I74" s="101">
        <v>2000</v>
      </c>
      <c r="J74" s="101">
        <f>J75+K76</f>
        <v>416.47899999999998</v>
      </c>
      <c r="K74" s="101">
        <f t="shared" ref="K74:K76" si="9">E74*0.21</f>
        <v>420</v>
      </c>
      <c r="L74" s="100">
        <f t="shared" si="8"/>
        <v>2416.4789999999998</v>
      </c>
      <c r="M74" s="112"/>
    </row>
    <row r="75" spans="2:13" ht="31.5" x14ac:dyDescent="0.2">
      <c r="B75" s="95"/>
      <c r="C75" s="153" t="s">
        <v>115</v>
      </c>
      <c r="D75" s="50" t="s">
        <v>117</v>
      </c>
      <c r="E75" s="100">
        <v>176.05</v>
      </c>
      <c r="F75" s="101"/>
      <c r="G75" s="101">
        <v>0</v>
      </c>
      <c r="H75" s="101"/>
      <c r="I75" s="101"/>
      <c r="J75" s="101">
        <f>E75*0.19</f>
        <v>33.4495</v>
      </c>
      <c r="K75" s="101">
        <v>0</v>
      </c>
      <c r="L75" s="100">
        <f>E75+J75</f>
        <v>209.49950000000001</v>
      </c>
      <c r="M75" s="112"/>
    </row>
    <row r="76" spans="2:13" ht="31.5" x14ac:dyDescent="0.2">
      <c r="B76" s="95"/>
      <c r="C76" s="153" t="s">
        <v>116</v>
      </c>
      <c r="D76" s="50" t="s">
        <v>121</v>
      </c>
      <c r="E76" s="100">
        <v>1823.95</v>
      </c>
      <c r="F76" s="101"/>
      <c r="G76" s="101">
        <v>0</v>
      </c>
      <c r="H76" s="101"/>
      <c r="I76" s="101"/>
      <c r="J76" s="101">
        <v>0</v>
      </c>
      <c r="K76" s="101">
        <f t="shared" si="9"/>
        <v>383.02949999999998</v>
      </c>
      <c r="L76" s="100">
        <f>K76+E76</f>
        <v>2206.9794999999999</v>
      </c>
      <c r="M76" s="112"/>
    </row>
    <row r="77" spans="2:13" s="127" customFormat="1" ht="15.75" x14ac:dyDescent="0.2">
      <c r="B77" s="151"/>
      <c r="C77" s="171" t="s">
        <v>90</v>
      </c>
      <c r="D77" s="172"/>
      <c r="E77" s="109">
        <f>E64+E67+E73+E74</f>
        <v>78845.228999999992</v>
      </c>
      <c r="F77" s="109"/>
      <c r="G77" s="110">
        <v>0</v>
      </c>
      <c r="H77" s="110"/>
      <c r="I77" s="110">
        <f>I64+I67+I73+I74</f>
        <v>331279.87</v>
      </c>
      <c r="J77" s="110">
        <f>J75</f>
        <v>33.4495</v>
      </c>
      <c r="K77" s="110">
        <f>K76+K73</f>
        <v>6366.7169999999996</v>
      </c>
      <c r="L77" s="109">
        <f>E77+G77+J77+K77</f>
        <v>85245.395499999999</v>
      </c>
      <c r="M77" s="111"/>
    </row>
    <row r="78" spans="2:13" ht="15.75" x14ac:dyDescent="0.2">
      <c r="B78" s="95"/>
      <c r="C78" s="192" t="s">
        <v>110</v>
      </c>
      <c r="D78" s="193"/>
      <c r="E78" s="193"/>
      <c r="F78" s="193"/>
      <c r="G78" s="193"/>
      <c r="H78" s="193"/>
      <c r="I78" s="193"/>
      <c r="J78" s="193"/>
      <c r="K78" s="193"/>
      <c r="L78" s="193"/>
      <c r="M78" s="194"/>
    </row>
    <row r="79" spans="2:13" ht="15.75" x14ac:dyDescent="0.2">
      <c r="B79" s="95"/>
      <c r="C79" s="99">
        <v>6.1</v>
      </c>
      <c r="D79" s="50" t="s">
        <v>91</v>
      </c>
      <c r="E79" s="101">
        <v>0</v>
      </c>
      <c r="F79" s="101">
        <v>0</v>
      </c>
      <c r="G79" s="101">
        <v>0</v>
      </c>
      <c r="H79" s="101">
        <v>0</v>
      </c>
      <c r="I79" s="101"/>
      <c r="J79" s="101">
        <v>0</v>
      </c>
      <c r="K79" s="101">
        <v>0</v>
      </c>
      <c r="L79" s="101">
        <v>0</v>
      </c>
      <c r="M79" s="112">
        <v>0</v>
      </c>
    </row>
    <row r="80" spans="2:13" ht="15.75" x14ac:dyDescent="0.2">
      <c r="B80" s="95"/>
      <c r="C80" s="99">
        <v>6.2</v>
      </c>
      <c r="D80" s="50" t="s">
        <v>92</v>
      </c>
      <c r="E80" s="101">
        <v>0</v>
      </c>
      <c r="F80" s="101">
        <v>0</v>
      </c>
      <c r="G80" s="101">
        <v>0</v>
      </c>
      <c r="H80" s="101">
        <v>0</v>
      </c>
      <c r="I80" s="101"/>
      <c r="J80" s="101">
        <v>0</v>
      </c>
      <c r="K80" s="101">
        <v>0</v>
      </c>
      <c r="L80" s="101">
        <v>0</v>
      </c>
      <c r="M80" s="112">
        <v>0</v>
      </c>
    </row>
    <row r="81" spans="2:13" ht="15.75" x14ac:dyDescent="0.2">
      <c r="B81" s="95"/>
      <c r="C81" s="171" t="s">
        <v>93</v>
      </c>
      <c r="D81" s="172"/>
      <c r="E81" s="110">
        <v>0</v>
      </c>
      <c r="F81" s="110">
        <v>0</v>
      </c>
      <c r="G81" s="110">
        <v>0</v>
      </c>
      <c r="H81" s="110">
        <v>0</v>
      </c>
      <c r="I81" s="110"/>
      <c r="J81" s="110">
        <v>0</v>
      </c>
      <c r="K81" s="110">
        <v>0</v>
      </c>
      <c r="L81" s="110">
        <v>0</v>
      </c>
      <c r="M81" s="120">
        <v>0</v>
      </c>
    </row>
    <row r="82" spans="2:13" ht="15.75" x14ac:dyDescent="0.2">
      <c r="B82" s="95"/>
      <c r="C82" s="192" t="s">
        <v>111</v>
      </c>
      <c r="D82" s="193"/>
      <c r="E82" s="193"/>
      <c r="F82" s="193"/>
      <c r="G82" s="193"/>
      <c r="H82" s="193"/>
      <c r="I82" s="193"/>
      <c r="J82" s="193"/>
      <c r="K82" s="193"/>
      <c r="L82" s="193"/>
      <c r="M82" s="194"/>
    </row>
    <row r="83" spans="2:13" ht="15.75" x14ac:dyDescent="0.2">
      <c r="B83" s="95"/>
      <c r="C83" s="99">
        <v>7.1</v>
      </c>
      <c r="D83" s="50" t="s">
        <v>94</v>
      </c>
      <c r="E83" s="101">
        <v>0</v>
      </c>
      <c r="F83" s="101">
        <v>0</v>
      </c>
      <c r="G83" s="100">
        <v>0</v>
      </c>
      <c r="H83" s="100">
        <v>60758.96</v>
      </c>
      <c r="I83" s="100">
        <v>60758.96</v>
      </c>
      <c r="J83" s="101">
        <f>G83*0.21</f>
        <v>0</v>
      </c>
      <c r="K83" s="101">
        <v>0</v>
      </c>
      <c r="L83" s="100">
        <f t="shared" ref="L83" si="10">E83+G83+J83</f>
        <v>0</v>
      </c>
      <c r="M83" s="102"/>
    </row>
    <row r="84" spans="2:13" ht="31.5" x14ac:dyDescent="0.2">
      <c r="B84" s="95"/>
      <c r="C84" s="99">
        <v>7.2</v>
      </c>
      <c r="D84" s="50" t="s">
        <v>95</v>
      </c>
      <c r="E84" s="101">
        <v>0</v>
      </c>
      <c r="F84" s="101">
        <v>0</v>
      </c>
      <c r="G84" s="100">
        <v>137992.24</v>
      </c>
      <c r="H84" s="100">
        <v>88900.28</v>
      </c>
      <c r="I84" s="100">
        <v>88900.28</v>
      </c>
      <c r="J84" s="101">
        <v>0</v>
      </c>
      <c r="K84" s="101">
        <f>G84*0.21</f>
        <v>28978.370399999996</v>
      </c>
      <c r="L84" s="100">
        <f>E84+G84+J84+K84</f>
        <v>166970.61039999998</v>
      </c>
      <c r="M84" s="102"/>
    </row>
    <row r="85" spans="2:13" ht="15.75" x14ac:dyDescent="0.2">
      <c r="B85" s="95"/>
      <c r="C85" s="171" t="s">
        <v>96</v>
      </c>
      <c r="D85" s="172"/>
      <c r="E85" s="110">
        <f>E83+E84</f>
        <v>0</v>
      </c>
      <c r="F85" s="110">
        <v>0</v>
      </c>
      <c r="G85" s="110">
        <f>G83+G84</f>
        <v>137992.24</v>
      </c>
      <c r="H85" s="110">
        <f t="shared" ref="H85:I85" si="11">H83+H84</f>
        <v>149659.24</v>
      </c>
      <c r="I85" s="110">
        <f t="shared" si="11"/>
        <v>149659.24</v>
      </c>
      <c r="J85" s="110">
        <f>J83+J84</f>
        <v>0</v>
      </c>
      <c r="K85" s="101">
        <f>G85*0.21</f>
        <v>28978.370399999996</v>
      </c>
      <c r="L85" s="101">
        <f>E85+G85+J85+K85</f>
        <v>166970.61039999998</v>
      </c>
      <c r="M85" s="111"/>
    </row>
    <row r="86" spans="2:13" ht="15.75" x14ac:dyDescent="0.2">
      <c r="B86" s="95"/>
      <c r="C86" s="169" t="s">
        <v>98</v>
      </c>
      <c r="D86" s="170"/>
      <c r="E86" s="92">
        <f>E17+E20+E48+E62+E77+E81+E85</f>
        <v>4586857.5856666667</v>
      </c>
      <c r="F86" s="92">
        <f>F17+F20+F48+F62+F77+F81+F85</f>
        <v>0</v>
      </c>
      <c r="G86" s="92">
        <f>G17+G20+G48+G62+G77+G81+G85</f>
        <v>148825.56999999998</v>
      </c>
      <c r="H86" s="92">
        <f>H17+H20+H48+H62+H77+H81+H85</f>
        <v>149659.24</v>
      </c>
      <c r="I86" s="92">
        <f>I17+I20+I48+I62+I77+I81+I85</f>
        <v>3296604.0200000005</v>
      </c>
      <c r="J86" s="92">
        <f>J17+J20+J48+J62+J77+J81+J85</f>
        <v>11037.300766666664</v>
      </c>
      <c r="K86" s="92">
        <f>K17+K20+K48+K62+K77+K85</f>
        <v>972140.53019999992</v>
      </c>
      <c r="L86" s="121">
        <f>E86+G86+J86+K86</f>
        <v>5718860.9866333334</v>
      </c>
      <c r="M86" s="122"/>
    </row>
    <row r="87" spans="2:13" ht="15.75" x14ac:dyDescent="0.2">
      <c r="B87" s="95"/>
      <c r="C87" s="171" t="s">
        <v>97</v>
      </c>
      <c r="D87" s="172"/>
      <c r="E87" s="110">
        <f>E17+E20+E50+E55+E65</f>
        <v>4395589</v>
      </c>
      <c r="F87" s="110">
        <f>F17+F20+F50+F55+F65</f>
        <v>0</v>
      </c>
      <c r="G87" s="110">
        <f>G17+G20+G50+G55+G65</f>
        <v>0</v>
      </c>
      <c r="H87" s="110">
        <f>H17+H20+H50+H55+H65</f>
        <v>0</v>
      </c>
      <c r="I87" s="110">
        <f>I17+I20+I50+I55+I65</f>
        <v>2698850.73</v>
      </c>
      <c r="J87" s="110">
        <v>0</v>
      </c>
      <c r="K87" s="110">
        <f>E87*0.21</f>
        <v>923073.69</v>
      </c>
      <c r="L87" s="110">
        <f>E87+G87+J87+K87</f>
        <v>5318662.6899999995</v>
      </c>
      <c r="M87" s="111"/>
    </row>
    <row r="88" spans="2:13" x14ac:dyDescent="0.2">
      <c r="B88" s="95"/>
      <c r="C88" s="3"/>
      <c r="D88" s="3"/>
      <c r="E88" s="123"/>
      <c r="F88" s="123"/>
      <c r="G88" s="123"/>
      <c r="H88" s="123"/>
      <c r="I88" s="123"/>
      <c r="J88" s="123"/>
      <c r="K88" s="123"/>
      <c r="L88" s="123"/>
      <c r="M88" s="124"/>
    </row>
    <row r="89" spans="2:13" x14ac:dyDescent="0.2">
      <c r="B89" s="95"/>
      <c r="C89" s="3"/>
      <c r="D89" s="3"/>
      <c r="E89" s="123"/>
      <c r="F89" s="123"/>
      <c r="G89" s="123"/>
      <c r="H89" s="123"/>
      <c r="I89" s="123"/>
      <c r="J89" s="123"/>
      <c r="K89" s="123"/>
      <c r="L89" s="123"/>
      <c r="M89" s="124"/>
    </row>
    <row r="90" spans="2:13" x14ac:dyDescent="0.2">
      <c r="B90" s="7"/>
      <c r="C90" s="3"/>
      <c r="D90" s="3"/>
      <c r="E90" s="4"/>
      <c r="F90" s="4"/>
      <c r="G90" s="4"/>
      <c r="H90" s="4"/>
      <c r="I90" s="4"/>
      <c r="J90" s="4"/>
      <c r="K90" s="4"/>
      <c r="L90" s="4"/>
      <c r="M90" s="5"/>
    </row>
    <row r="91" spans="2:13" s="86" customFormat="1" ht="15.75" x14ac:dyDescent="0.25">
      <c r="B91" s="39"/>
      <c r="C91" s="173"/>
      <c r="D91" s="173"/>
      <c r="E91" s="173"/>
      <c r="F91" s="173"/>
      <c r="G91" s="173"/>
      <c r="H91" s="173"/>
      <c r="I91" s="173"/>
      <c r="J91" s="173"/>
      <c r="K91" s="173"/>
      <c r="L91" s="173"/>
      <c r="M91" s="173"/>
    </row>
    <row r="92" spans="2:13" ht="15.75" x14ac:dyDescent="0.25">
      <c r="B92" s="7"/>
      <c r="C92" s="2"/>
      <c r="D92" s="163" t="s">
        <v>148</v>
      </c>
      <c r="E92" s="205"/>
      <c r="F92" s="205"/>
      <c r="G92" s="205"/>
      <c r="H92" s="205"/>
      <c r="I92" s="205"/>
      <c r="J92" s="205" t="s">
        <v>134</v>
      </c>
      <c r="K92" s="205"/>
      <c r="L92" s="2"/>
      <c r="M92" s="2"/>
    </row>
    <row r="93" spans="2:13" ht="15.75" x14ac:dyDescent="0.2">
      <c r="D93" s="207" t="s">
        <v>147</v>
      </c>
      <c r="E93" s="85"/>
      <c r="F93" s="85"/>
      <c r="G93" s="208" t="s">
        <v>149</v>
      </c>
      <c r="H93" s="208"/>
      <c r="I93" s="208"/>
      <c r="J93" s="208"/>
      <c r="K93" s="208"/>
    </row>
    <row r="96" spans="2:13" x14ac:dyDescent="0.2">
      <c r="E96" s="1"/>
    </row>
  </sheetData>
  <mergeCells count="25">
    <mergeCell ref="G93:K93"/>
    <mergeCell ref="C7:M7"/>
    <mergeCell ref="C8:C9"/>
    <mergeCell ref="D8:D9"/>
    <mergeCell ref="E8:F8"/>
    <mergeCell ref="G8:H8"/>
    <mergeCell ref="L8:M8"/>
    <mergeCell ref="J8:K8"/>
    <mergeCell ref="C81:D81"/>
    <mergeCell ref="C12:M12"/>
    <mergeCell ref="C17:D17"/>
    <mergeCell ref="C19:M19"/>
    <mergeCell ref="C20:D20"/>
    <mergeCell ref="C21:M21"/>
    <mergeCell ref="C48:D48"/>
    <mergeCell ref="C49:M49"/>
    <mergeCell ref="C62:D62"/>
    <mergeCell ref="C63:M63"/>
    <mergeCell ref="C77:D77"/>
    <mergeCell ref="C78:M78"/>
    <mergeCell ref="C82:M82"/>
    <mergeCell ref="C85:D85"/>
    <mergeCell ref="C86:D86"/>
    <mergeCell ref="C87:D87"/>
    <mergeCell ref="C91:M9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3A3E8-23DB-46E8-9AC0-95EDEFD9ED1E}">
  <sheetPr>
    <tabColor rgb="FF92D050"/>
  </sheetPr>
  <dimension ref="A3:Q91"/>
  <sheetViews>
    <sheetView zoomScale="90" zoomScaleNormal="90" workbookViewId="0">
      <selection activeCell="C90" sqref="C90:J91"/>
    </sheetView>
  </sheetViews>
  <sheetFormatPr defaultRowHeight="12.75" x14ac:dyDescent="0.2"/>
  <cols>
    <col min="3" max="3" width="52.83203125" customWidth="1"/>
    <col min="4" max="4" width="17" customWidth="1"/>
    <col min="5" max="5" width="0" hidden="1" customWidth="1"/>
    <col min="6" max="6" width="17.6640625" customWidth="1"/>
    <col min="7" max="8" width="0" hidden="1" customWidth="1"/>
    <col min="9" max="10" width="17.1640625" customWidth="1"/>
    <col min="11" max="11" width="16" customWidth="1"/>
    <col min="12" max="12" width="0" hidden="1" customWidth="1"/>
    <col min="17" max="17" width="63.83203125" customWidth="1"/>
  </cols>
  <sheetData>
    <row r="3" spans="2:12" ht="15.75" x14ac:dyDescent="0.2"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2:12" ht="15.75" x14ac:dyDescent="0.2"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</row>
    <row r="5" spans="2:12" ht="86.25" customHeight="1" x14ac:dyDescent="0.2">
      <c r="B5" s="203" t="s">
        <v>138</v>
      </c>
      <c r="C5" s="204"/>
      <c r="D5" s="204"/>
      <c r="E5" s="204"/>
      <c r="F5" s="204"/>
      <c r="G5" s="204"/>
      <c r="H5" s="204"/>
      <c r="I5" s="204"/>
      <c r="J5" s="204"/>
      <c r="K5" s="204"/>
      <c r="L5" s="204"/>
    </row>
    <row r="6" spans="2:12" ht="78.75" x14ac:dyDescent="0.2">
      <c r="B6" s="177" t="s">
        <v>0</v>
      </c>
      <c r="C6" s="179" t="s">
        <v>1</v>
      </c>
      <c r="D6" s="181" t="s">
        <v>2</v>
      </c>
      <c r="E6" s="182"/>
      <c r="F6" s="181" t="s">
        <v>3</v>
      </c>
      <c r="G6" s="182"/>
      <c r="H6" s="129" t="s">
        <v>100</v>
      </c>
      <c r="I6" s="183" t="s">
        <v>4</v>
      </c>
      <c r="J6" s="183"/>
      <c r="K6" s="183" t="s">
        <v>5</v>
      </c>
      <c r="L6" s="183"/>
    </row>
    <row r="7" spans="2:12" ht="15.75" x14ac:dyDescent="0.2">
      <c r="B7" s="178"/>
      <c r="C7" s="180"/>
      <c r="D7" s="44" t="s">
        <v>6</v>
      </c>
      <c r="E7" s="44" t="s">
        <v>7</v>
      </c>
      <c r="F7" s="44" t="s">
        <v>6</v>
      </c>
      <c r="G7" s="44" t="s">
        <v>7</v>
      </c>
      <c r="H7" s="44" t="s">
        <v>6</v>
      </c>
      <c r="I7" s="135" t="s">
        <v>123</v>
      </c>
      <c r="J7" s="136" t="s">
        <v>112</v>
      </c>
      <c r="K7" s="132" t="s">
        <v>6</v>
      </c>
      <c r="L7" s="84" t="s">
        <v>7</v>
      </c>
    </row>
    <row r="8" spans="2:12" ht="15.75" x14ac:dyDescent="0.2">
      <c r="B8" s="45">
        <v>1</v>
      </c>
      <c r="C8" s="46">
        <v>2</v>
      </c>
      <c r="D8" s="46">
        <v>3</v>
      </c>
      <c r="E8" s="46">
        <v>4</v>
      </c>
      <c r="F8" s="46">
        <v>4</v>
      </c>
      <c r="G8" s="46">
        <v>6</v>
      </c>
      <c r="H8" s="46">
        <v>5</v>
      </c>
      <c r="I8" s="137">
        <v>5</v>
      </c>
      <c r="J8" s="139">
        <v>6</v>
      </c>
      <c r="K8" s="138">
        <v>7</v>
      </c>
      <c r="L8" s="47">
        <v>9</v>
      </c>
    </row>
    <row r="9" spans="2:12" ht="15.75" x14ac:dyDescent="0.25"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</row>
    <row r="10" spans="2:12" ht="15.75" x14ac:dyDescent="0.2">
      <c r="B10" s="174" t="s">
        <v>107</v>
      </c>
      <c r="C10" s="175"/>
      <c r="D10" s="175"/>
      <c r="E10" s="175"/>
      <c r="F10" s="175"/>
      <c r="G10" s="175"/>
      <c r="H10" s="175"/>
      <c r="I10" s="175"/>
      <c r="J10" s="175"/>
      <c r="K10" s="175"/>
      <c r="L10" s="176"/>
    </row>
    <row r="11" spans="2:12" ht="15.75" x14ac:dyDescent="0.2">
      <c r="B11" s="49">
        <v>1.1000000000000001</v>
      </c>
      <c r="C11" s="50" t="s">
        <v>8</v>
      </c>
      <c r="D11" s="51">
        <v>0</v>
      </c>
      <c r="E11" s="51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2">
        <v>0</v>
      </c>
    </row>
    <row r="12" spans="2:12" ht="15.75" x14ac:dyDescent="0.2">
      <c r="B12" s="49">
        <v>1.2</v>
      </c>
      <c r="C12" s="50" t="s">
        <v>9</v>
      </c>
      <c r="D12" s="51">
        <v>0</v>
      </c>
      <c r="E12" s="51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2">
        <v>0</v>
      </c>
    </row>
    <row r="13" spans="2:12" ht="31.5" x14ac:dyDescent="0.2">
      <c r="B13" s="49">
        <v>1.3</v>
      </c>
      <c r="C13" s="50" t="s">
        <v>10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2">
        <v>0</v>
      </c>
    </row>
    <row r="14" spans="2:12" ht="15.75" x14ac:dyDescent="0.2">
      <c r="B14" s="49">
        <v>1.4</v>
      </c>
      <c r="C14" s="50" t="s">
        <v>11</v>
      </c>
      <c r="D14" s="51">
        <v>0</v>
      </c>
      <c r="E14" s="51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2">
        <v>0</v>
      </c>
    </row>
    <row r="15" spans="2:12" ht="15.75" x14ac:dyDescent="0.2">
      <c r="B15" s="171" t="s">
        <v>12</v>
      </c>
      <c r="C15" s="172"/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4">
        <v>0</v>
      </c>
    </row>
    <row r="16" spans="2:12" ht="15.75" x14ac:dyDescent="0.25"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</row>
    <row r="17" spans="2:12" ht="15.75" x14ac:dyDescent="0.2">
      <c r="B17" s="174" t="s">
        <v>102</v>
      </c>
      <c r="C17" s="175"/>
      <c r="D17" s="175"/>
      <c r="E17" s="175"/>
      <c r="F17" s="175"/>
      <c r="G17" s="175"/>
      <c r="H17" s="175"/>
      <c r="I17" s="175"/>
      <c r="J17" s="175"/>
      <c r="K17" s="175"/>
      <c r="L17" s="176"/>
    </row>
    <row r="18" spans="2:12" ht="15.75" x14ac:dyDescent="0.2">
      <c r="B18" s="171" t="s">
        <v>13</v>
      </c>
      <c r="C18" s="172"/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4">
        <v>0</v>
      </c>
    </row>
    <row r="19" spans="2:12" ht="15.75" x14ac:dyDescent="0.2">
      <c r="B19" s="174" t="s">
        <v>130</v>
      </c>
      <c r="C19" s="175"/>
      <c r="D19" s="175"/>
      <c r="E19" s="175"/>
      <c r="F19" s="175"/>
      <c r="G19" s="175"/>
      <c r="H19" s="175"/>
      <c r="I19" s="175"/>
      <c r="J19" s="175"/>
      <c r="K19" s="175"/>
      <c r="L19" s="176"/>
    </row>
    <row r="20" spans="2:12" ht="15.75" x14ac:dyDescent="0.2">
      <c r="B20" s="15">
        <v>3.1</v>
      </c>
      <c r="C20" s="16" t="s">
        <v>14</v>
      </c>
      <c r="D20" s="17">
        <v>1666.67</v>
      </c>
      <c r="E20" s="17"/>
      <c r="F20" s="17">
        <v>0</v>
      </c>
      <c r="G20" s="17">
        <v>0</v>
      </c>
      <c r="H20" s="17">
        <v>1666.67</v>
      </c>
      <c r="I20" s="17">
        <f t="shared" ref="I20:I25" si="0">D20*0.19</f>
        <v>316.66730000000001</v>
      </c>
      <c r="J20" s="17">
        <v>0</v>
      </c>
      <c r="K20" s="17">
        <f t="shared" ref="K20:K25" si="1">D20+F20+I20</f>
        <v>1983.3373000000001</v>
      </c>
      <c r="L20" s="18"/>
    </row>
    <row r="21" spans="2:12" ht="15.75" x14ac:dyDescent="0.2">
      <c r="B21" s="19" t="s">
        <v>15</v>
      </c>
      <c r="C21" s="16" t="s">
        <v>16</v>
      </c>
      <c r="D21" s="17">
        <v>1666.67</v>
      </c>
      <c r="E21" s="17"/>
      <c r="F21" s="17">
        <v>0</v>
      </c>
      <c r="G21" s="17">
        <v>0</v>
      </c>
      <c r="H21" s="17">
        <v>1666.67</v>
      </c>
      <c r="I21" s="17">
        <f t="shared" si="0"/>
        <v>316.66730000000001</v>
      </c>
      <c r="J21" s="17">
        <v>0</v>
      </c>
      <c r="K21" s="17">
        <f t="shared" si="1"/>
        <v>1983.3373000000001</v>
      </c>
      <c r="L21" s="18"/>
    </row>
    <row r="22" spans="2:12" ht="15.75" x14ac:dyDescent="0.2">
      <c r="B22" s="19" t="s">
        <v>17</v>
      </c>
      <c r="C22" s="16" t="s">
        <v>18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f t="shared" si="0"/>
        <v>0</v>
      </c>
      <c r="J22" s="17">
        <v>0</v>
      </c>
      <c r="K22" s="17">
        <f t="shared" si="1"/>
        <v>0</v>
      </c>
      <c r="L22" s="18">
        <v>0</v>
      </c>
    </row>
    <row r="23" spans="2:12" ht="15.75" x14ac:dyDescent="0.2">
      <c r="B23" s="19" t="s">
        <v>19</v>
      </c>
      <c r="C23" s="16" t="s">
        <v>20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f t="shared" si="0"/>
        <v>0</v>
      </c>
      <c r="J23" s="17">
        <v>0</v>
      </c>
      <c r="K23" s="17">
        <f t="shared" si="1"/>
        <v>0</v>
      </c>
      <c r="L23" s="18">
        <v>0</v>
      </c>
    </row>
    <row r="24" spans="2:12" ht="31.5" x14ac:dyDescent="0.2">
      <c r="B24" s="20">
        <v>3.2</v>
      </c>
      <c r="C24" s="21" t="s">
        <v>21</v>
      </c>
      <c r="D24" s="22">
        <v>166.66666666666666</v>
      </c>
      <c r="E24" s="22"/>
      <c r="F24" s="22">
        <v>0</v>
      </c>
      <c r="G24" s="22">
        <v>0</v>
      </c>
      <c r="H24" s="23">
        <v>166.67</v>
      </c>
      <c r="I24" s="17">
        <f t="shared" si="0"/>
        <v>31.666666666666664</v>
      </c>
      <c r="J24" s="17">
        <v>0</v>
      </c>
      <c r="K24" s="17">
        <f t="shared" si="1"/>
        <v>198.33333333333331</v>
      </c>
      <c r="L24" s="24"/>
    </row>
    <row r="25" spans="2:12" ht="15.75" x14ac:dyDescent="0.2">
      <c r="B25" s="15">
        <v>3.3</v>
      </c>
      <c r="C25" s="16" t="s">
        <v>22</v>
      </c>
      <c r="D25" s="17">
        <v>1250</v>
      </c>
      <c r="E25" s="17"/>
      <c r="F25" s="17">
        <v>0</v>
      </c>
      <c r="G25" s="17">
        <v>0</v>
      </c>
      <c r="H25" s="17">
        <v>1250</v>
      </c>
      <c r="I25" s="17">
        <f t="shared" si="0"/>
        <v>237.5</v>
      </c>
      <c r="J25" s="17">
        <v>0</v>
      </c>
      <c r="K25" s="17">
        <f t="shared" si="1"/>
        <v>1487.5</v>
      </c>
      <c r="L25" s="18"/>
    </row>
    <row r="26" spans="2:12" ht="31.5" x14ac:dyDescent="0.2">
      <c r="B26" s="15">
        <v>3.4</v>
      </c>
      <c r="C26" s="16" t="s">
        <v>23</v>
      </c>
      <c r="D26" s="17">
        <f>D27+D28</f>
        <v>4666.67</v>
      </c>
      <c r="E26" s="17"/>
      <c r="F26" s="17">
        <v>0</v>
      </c>
      <c r="G26" s="17">
        <v>0</v>
      </c>
      <c r="H26" s="17">
        <v>2000</v>
      </c>
      <c r="I26" s="17">
        <f>I27+J28</f>
        <v>966.66729999999995</v>
      </c>
      <c r="J26" s="17"/>
      <c r="K26" s="17">
        <f>K27+K28</f>
        <v>5633.3373000000001</v>
      </c>
      <c r="L26" s="18"/>
    </row>
    <row r="27" spans="2:12" ht="31.5" x14ac:dyDescent="0.2">
      <c r="B27" s="15" t="s">
        <v>113</v>
      </c>
      <c r="C27" s="16" t="s">
        <v>119</v>
      </c>
      <c r="D27" s="17">
        <v>666.67</v>
      </c>
      <c r="E27" s="17"/>
      <c r="F27" s="17">
        <v>0</v>
      </c>
      <c r="G27" s="17"/>
      <c r="H27" s="17"/>
      <c r="I27" s="17">
        <f>D27*0.19</f>
        <v>126.6673</v>
      </c>
      <c r="J27" s="17">
        <v>0</v>
      </c>
      <c r="K27" s="17">
        <f>D27+F27+I27</f>
        <v>793.33729999999991</v>
      </c>
      <c r="L27" s="18"/>
    </row>
    <row r="28" spans="2:12" ht="31.5" x14ac:dyDescent="0.2">
      <c r="B28" s="15" t="s">
        <v>114</v>
      </c>
      <c r="C28" s="16" t="s">
        <v>120</v>
      </c>
      <c r="D28" s="17">
        <v>4000</v>
      </c>
      <c r="E28" s="17"/>
      <c r="F28" s="17">
        <v>0</v>
      </c>
      <c r="G28" s="17"/>
      <c r="H28" s="17"/>
      <c r="I28" s="17">
        <v>0</v>
      </c>
      <c r="J28" s="17">
        <f>D28*0.21</f>
        <v>840</v>
      </c>
      <c r="K28" s="17">
        <f>+D28+F28+I28+J28</f>
        <v>4840</v>
      </c>
      <c r="L28" s="18"/>
    </row>
    <row r="29" spans="2:12" ht="15.75" x14ac:dyDescent="0.2">
      <c r="B29" s="15">
        <v>3.5</v>
      </c>
      <c r="C29" s="16" t="s">
        <v>24</v>
      </c>
      <c r="D29" s="17">
        <f>D30+D31+D32+D33+D34+D35</f>
        <v>48331.67</v>
      </c>
      <c r="E29" s="17"/>
      <c r="F29" s="17">
        <v>0</v>
      </c>
      <c r="G29" s="17">
        <v>0</v>
      </c>
      <c r="H29" s="17">
        <v>48164.17</v>
      </c>
      <c r="I29" s="17">
        <f t="shared" ref="I29:I35" si="2">D29*0.19</f>
        <v>9183.0172999999995</v>
      </c>
      <c r="J29" s="17">
        <v>0</v>
      </c>
      <c r="K29" s="17">
        <f t="shared" ref="K29:K36" si="3">D29+F29+I29</f>
        <v>57514.687299999998</v>
      </c>
      <c r="L29" s="18"/>
    </row>
    <row r="30" spans="2:12" ht="15.75" x14ac:dyDescent="0.2">
      <c r="B30" s="19" t="s">
        <v>25</v>
      </c>
      <c r="C30" s="16" t="s">
        <v>26</v>
      </c>
      <c r="D30" s="17">
        <v>0</v>
      </c>
      <c r="E30" s="17"/>
      <c r="F30" s="17">
        <v>0</v>
      </c>
      <c r="G30" s="17">
        <v>0</v>
      </c>
      <c r="H30" s="17">
        <v>0</v>
      </c>
      <c r="I30" s="17">
        <f t="shared" si="2"/>
        <v>0</v>
      </c>
      <c r="J30" s="17">
        <v>0</v>
      </c>
      <c r="K30" s="17">
        <f t="shared" si="3"/>
        <v>0</v>
      </c>
      <c r="L30" s="18"/>
    </row>
    <row r="31" spans="2:12" ht="15.75" x14ac:dyDescent="0.2">
      <c r="B31" s="19" t="s">
        <v>27</v>
      </c>
      <c r="C31" s="16" t="s">
        <v>28</v>
      </c>
      <c r="D31" s="17">
        <v>0</v>
      </c>
      <c r="E31" s="17"/>
      <c r="F31" s="17">
        <v>0</v>
      </c>
      <c r="G31" s="17">
        <v>0</v>
      </c>
      <c r="H31" s="17">
        <v>0</v>
      </c>
      <c r="I31" s="17">
        <f t="shared" si="2"/>
        <v>0</v>
      </c>
      <c r="J31" s="17">
        <v>0</v>
      </c>
      <c r="K31" s="17">
        <f t="shared" si="3"/>
        <v>0</v>
      </c>
      <c r="L31" s="18"/>
    </row>
    <row r="32" spans="2:12" ht="31.5" x14ac:dyDescent="0.2">
      <c r="B32" s="19" t="s">
        <v>29</v>
      </c>
      <c r="C32" s="16" t="s">
        <v>30</v>
      </c>
      <c r="D32" s="17">
        <v>5000</v>
      </c>
      <c r="E32" s="17"/>
      <c r="F32" s="17">
        <v>0</v>
      </c>
      <c r="G32" s="17">
        <v>0</v>
      </c>
      <c r="H32" s="17">
        <v>5000</v>
      </c>
      <c r="I32" s="17">
        <f t="shared" si="2"/>
        <v>950</v>
      </c>
      <c r="J32" s="17">
        <v>0</v>
      </c>
      <c r="K32" s="17">
        <f t="shared" si="3"/>
        <v>5950</v>
      </c>
      <c r="L32" s="18"/>
    </row>
    <row r="33" spans="1:13" ht="31.5" x14ac:dyDescent="0.2">
      <c r="B33" s="19" t="s">
        <v>31</v>
      </c>
      <c r="C33" s="16" t="s">
        <v>32</v>
      </c>
      <c r="D33" s="53">
        <v>166.67</v>
      </c>
      <c r="E33" s="53"/>
      <c r="F33" s="53">
        <v>0</v>
      </c>
      <c r="G33" s="53"/>
      <c r="H33" s="53">
        <v>1500</v>
      </c>
      <c r="I33" s="53">
        <f t="shared" si="2"/>
        <v>31.667299999999997</v>
      </c>
      <c r="J33" s="53">
        <v>0</v>
      </c>
      <c r="K33" s="53">
        <f t="shared" si="3"/>
        <v>198.33729999999997</v>
      </c>
      <c r="L33" s="54"/>
    </row>
    <row r="34" spans="1:13" ht="31.5" x14ac:dyDescent="0.2">
      <c r="B34" s="19" t="s">
        <v>33</v>
      </c>
      <c r="C34" s="16" t="s">
        <v>34</v>
      </c>
      <c r="D34" s="17">
        <v>5500.83</v>
      </c>
      <c r="E34" s="17"/>
      <c r="F34" s="17">
        <v>0</v>
      </c>
      <c r="G34" s="17"/>
      <c r="H34" s="17">
        <v>5500</v>
      </c>
      <c r="I34" s="17">
        <f t="shared" si="2"/>
        <v>1045.1577</v>
      </c>
      <c r="J34" s="17">
        <v>0</v>
      </c>
      <c r="K34" s="17">
        <f t="shared" si="3"/>
        <v>6545.9876999999997</v>
      </c>
      <c r="L34" s="18"/>
    </row>
    <row r="35" spans="1:13" ht="15.75" x14ac:dyDescent="0.2">
      <c r="B35" s="19" t="s">
        <v>35</v>
      </c>
      <c r="C35" s="16" t="s">
        <v>36</v>
      </c>
      <c r="D35" s="17">
        <v>37664.17</v>
      </c>
      <c r="E35" s="17"/>
      <c r="F35" s="17">
        <v>0</v>
      </c>
      <c r="G35" s="17"/>
      <c r="H35" s="17">
        <v>36164.17</v>
      </c>
      <c r="I35" s="17">
        <f t="shared" si="2"/>
        <v>7156.1922999999997</v>
      </c>
      <c r="J35" s="17">
        <v>0</v>
      </c>
      <c r="K35" s="17">
        <f t="shared" si="3"/>
        <v>44820.362300000001</v>
      </c>
      <c r="L35" s="18"/>
    </row>
    <row r="36" spans="1:13" ht="15.75" x14ac:dyDescent="0.2">
      <c r="B36" s="15">
        <v>3.6</v>
      </c>
      <c r="C36" s="16" t="s">
        <v>37</v>
      </c>
      <c r="D36" s="17">
        <v>0</v>
      </c>
      <c r="E36" s="17"/>
      <c r="F36" s="17">
        <v>5833.33</v>
      </c>
      <c r="G36" s="17"/>
      <c r="H36" s="17">
        <v>6000</v>
      </c>
      <c r="I36" s="17">
        <f>(D36+F36)*0.19</f>
        <v>1108.3326999999999</v>
      </c>
      <c r="J36" s="17">
        <v>0</v>
      </c>
      <c r="K36" s="17">
        <f t="shared" si="3"/>
        <v>6941.6626999999999</v>
      </c>
      <c r="L36" s="18"/>
    </row>
    <row r="37" spans="1:13" ht="15.75" x14ac:dyDescent="0.2">
      <c r="B37" s="15">
        <v>3.7</v>
      </c>
      <c r="C37" s="16" t="s">
        <v>38</v>
      </c>
      <c r="D37" s="17">
        <v>0</v>
      </c>
      <c r="E37" s="17"/>
      <c r="F37" s="17">
        <v>5000</v>
      </c>
      <c r="G37" s="17"/>
      <c r="H37" s="17">
        <v>5000</v>
      </c>
      <c r="I37" s="17">
        <v>0</v>
      </c>
      <c r="J37" s="17">
        <f>F37*0.21</f>
        <v>1050</v>
      </c>
      <c r="K37" s="17">
        <f>D37+F37+I37+J37</f>
        <v>6050</v>
      </c>
      <c r="L37" s="18"/>
    </row>
    <row r="38" spans="1:13" ht="31.5" x14ac:dyDescent="0.2">
      <c r="B38" s="19" t="s">
        <v>39</v>
      </c>
      <c r="C38" s="16" t="s">
        <v>40</v>
      </c>
      <c r="D38" s="17">
        <v>0</v>
      </c>
      <c r="E38" s="17"/>
      <c r="F38" s="17">
        <v>4000</v>
      </c>
      <c r="G38" s="17"/>
      <c r="H38" s="17">
        <v>4000</v>
      </c>
      <c r="I38" s="17">
        <v>0</v>
      </c>
      <c r="J38" s="17">
        <f>F38*0.21</f>
        <v>840</v>
      </c>
      <c r="K38" s="17">
        <f>D38+F38+I38+J38</f>
        <v>4840</v>
      </c>
      <c r="L38" s="18"/>
    </row>
    <row r="39" spans="1:13" ht="15.75" x14ac:dyDescent="0.2">
      <c r="B39" s="19" t="s">
        <v>41</v>
      </c>
      <c r="C39" s="16" t="s">
        <v>42</v>
      </c>
      <c r="D39" s="17">
        <v>0</v>
      </c>
      <c r="E39" s="17"/>
      <c r="F39" s="17">
        <v>1000</v>
      </c>
      <c r="G39" s="17"/>
      <c r="H39" s="17">
        <v>1000</v>
      </c>
      <c r="I39" s="17">
        <v>0</v>
      </c>
      <c r="J39" s="17">
        <f>F39*0.21</f>
        <v>210</v>
      </c>
      <c r="K39" s="17">
        <f>D39+F39+I39+J39</f>
        <v>1210</v>
      </c>
      <c r="L39" s="18"/>
    </row>
    <row r="40" spans="1:13" ht="15.75" x14ac:dyDescent="0.2">
      <c r="B40" s="15">
        <v>3.8</v>
      </c>
      <c r="C40" s="16" t="s">
        <v>43</v>
      </c>
      <c r="D40" s="17">
        <f>D41+D44+D45</f>
        <v>24341.679999999997</v>
      </c>
      <c r="E40" s="17"/>
      <c r="F40" s="17">
        <v>0</v>
      </c>
      <c r="G40" s="17"/>
      <c r="H40" s="17">
        <v>27566.67</v>
      </c>
      <c r="I40" s="17">
        <v>0</v>
      </c>
      <c r="J40" s="17">
        <f>D40*0.21</f>
        <v>5111.7527999999993</v>
      </c>
      <c r="K40" s="17">
        <f>D40+F40+I40+J40</f>
        <v>29453.432799999995</v>
      </c>
      <c r="L40" s="18"/>
    </row>
    <row r="41" spans="1:13" ht="15.75" x14ac:dyDescent="0.2">
      <c r="B41" s="19" t="s">
        <v>44</v>
      </c>
      <c r="C41" s="16" t="s">
        <v>45</v>
      </c>
      <c r="D41" s="17">
        <v>1666.67</v>
      </c>
      <c r="E41" s="17"/>
      <c r="F41" s="17">
        <v>0</v>
      </c>
      <c r="G41" s="17"/>
      <c r="H41" s="17">
        <v>1666.67</v>
      </c>
      <c r="I41" s="17">
        <v>0</v>
      </c>
      <c r="J41" s="17">
        <f t="shared" ref="J41:J45" si="4">D41*0.21</f>
        <v>350.00069999999999</v>
      </c>
      <c r="K41" s="17">
        <f t="shared" ref="K41:K43" si="5">D41+F41+I41+J41</f>
        <v>2016.6707000000001</v>
      </c>
      <c r="L41" s="18"/>
    </row>
    <row r="42" spans="1:13" ht="15.75" x14ac:dyDescent="0.2">
      <c r="B42" s="19" t="s">
        <v>46</v>
      </c>
      <c r="C42" s="16" t="s">
        <v>47</v>
      </c>
      <c r="D42" s="17">
        <v>1000</v>
      </c>
      <c r="E42" s="17"/>
      <c r="F42" s="17">
        <v>0</v>
      </c>
      <c r="G42" s="17"/>
      <c r="H42" s="17">
        <v>1000</v>
      </c>
      <c r="I42" s="17">
        <v>0</v>
      </c>
      <c r="J42" s="17">
        <f t="shared" si="4"/>
        <v>210</v>
      </c>
      <c r="K42" s="17">
        <f t="shared" si="5"/>
        <v>1210</v>
      </c>
      <c r="L42" s="18"/>
    </row>
    <row r="43" spans="1:13" ht="47.25" x14ac:dyDescent="0.2">
      <c r="B43" s="19" t="s">
        <v>48</v>
      </c>
      <c r="C43" s="16" t="s">
        <v>49</v>
      </c>
      <c r="D43" s="17">
        <v>666.67</v>
      </c>
      <c r="E43" s="17"/>
      <c r="F43" s="17">
        <v>0</v>
      </c>
      <c r="G43" s="17"/>
      <c r="H43" s="17">
        <v>666.67</v>
      </c>
      <c r="I43" s="17">
        <v>0</v>
      </c>
      <c r="J43" s="17">
        <f t="shared" si="4"/>
        <v>140.00069999999999</v>
      </c>
      <c r="K43" s="17">
        <f t="shared" si="5"/>
        <v>806.6706999999999</v>
      </c>
      <c r="L43" s="18"/>
    </row>
    <row r="44" spans="1:13" ht="15.75" x14ac:dyDescent="0.2">
      <c r="B44" s="19" t="s">
        <v>50</v>
      </c>
      <c r="C44" s="16" t="s">
        <v>51</v>
      </c>
      <c r="D44" s="17">
        <v>20416.669999999998</v>
      </c>
      <c r="E44" s="17"/>
      <c r="F44" s="17">
        <v>0</v>
      </c>
      <c r="G44" s="17"/>
      <c r="H44" s="17">
        <v>21500</v>
      </c>
      <c r="I44" s="17">
        <v>0</v>
      </c>
      <c r="J44" s="17">
        <f t="shared" si="4"/>
        <v>4287.5006999999996</v>
      </c>
      <c r="K44" s="17">
        <f>D44+F44+I44+J44</f>
        <v>24704.170699999999</v>
      </c>
      <c r="L44" s="18"/>
    </row>
    <row r="45" spans="1:13" ht="47.25" x14ac:dyDescent="0.2">
      <c r="B45" s="25" t="s">
        <v>52</v>
      </c>
      <c r="C45" s="21" t="s">
        <v>53</v>
      </c>
      <c r="D45" s="22">
        <v>2258.34</v>
      </c>
      <c r="E45" s="22"/>
      <c r="F45" s="22">
        <v>0</v>
      </c>
      <c r="G45" s="22"/>
      <c r="H45" s="23">
        <v>4400</v>
      </c>
      <c r="I45" s="17">
        <v>0</v>
      </c>
      <c r="J45" s="17">
        <f t="shared" si="4"/>
        <v>474.25139999999999</v>
      </c>
      <c r="K45" s="17">
        <f>D45+F45+I45+J45</f>
        <v>2732.5914000000002</v>
      </c>
      <c r="L45" s="24"/>
    </row>
    <row r="46" spans="1:13" ht="15.75" x14ac:dyDescent="0.2">
      <c r="B46" s="167" t="s">
        <v>54</v>
      </c>
      <c r="C46" s="168"/>
      <c r="D46" s="26">
        <f>D20+D24+D25+D26+D29+D36+D37+D40</f>
        <v>80423.356666666659</v>
      </c>
      <c r="E46" s="26"/>
      <c r="F46" s="26">
        <f>F20+F24+F25+F26+F29+F36+F37+F40</f>
        <v>10833.33</v>
      </c>
      <c r="G46" s="26"/>
      <c r="H46" s="26">
        <f>H20+H24+H25+H26+H29+H36+H37+H40</f>
        <v>91814.18</v>
      </c>
      <c r="I46" s="26">
        <f>I36+I29+I27+I25+I20+I24</f>
        <v>11003.851266666663</v>
      </c>
      <c r="J46" s="26">
        <f>J40+J37+J28</f>
        <v>7001.7527999999993</v>
      </c>
      <c r="K46" s="26">
        <f>D46+F46+I46+J46</f>
        <v>109262.29073333333</v>
      </c>
      <c r="L46" s="27"/>
    </row>
    <row r="47" spans="1:13" ht="15.75" x14ac:dyDescent="0.2">
      <c r="B47" s="164"/>
      <c r="C47" s="165"/>
      <c r="D47" s="165"/>
      <c r="E47" s="165"/>
      <c r="F47" s="165"/>
      <c r="G47" s="165"/>
      <c r="H47" s="165"/>
      <c r="I47" s="165"/>
      <c r="J47" s="165"/>
      <c r="K47" s="165"/>
      <c r="L47" s="166"/>
    </row>
    <row r="48" spans="1:13" ht="15.75" x14ac:dyDescent="0.2">
      <c r="A48" s="98"/>
      <c r="B48" s="99">
        <v>4.0999999999999996</v>
      </c>
      <c r="C48" s="50" t="s">
        <v>55</v>
      </c>
      <c r="D48" s="100">
        <f>D49+D50+D51+D52</f>
        <v>2275643.7399999998</v>
      </c>
      <c r="E48" s="100"/>
      <c r="F48" s="101">
        <v>0</v>
      </c>
      <c r="G48" s="101"/>
      <c r="H48" s="101">
        <v>2406860.88</v>
      </c>
      <c r="I48" s="101">
        <v>0</v>
      </c>
      <c r="J48" s="101">
        <f>D48*0.21</f>
        <v>477885.18539999996</v>
      </c>
      <c r="K48" s="100">
        <f>D48+F48+I48+J48</f>
        <v>2753528.9253999996</v>
      </c>
      <c r="L48" s="102"/>
      <c r="M48" s="98"/>
    </row>
    <row r="49" spans="1:17" ht="15.75" x14ac:dyDescent="0.2">
      <c r="A49" s="98"/>
      <c r="B49" s="103" t="s">
        <v>56</v>
      </c>
      <c r="C49" s="104" t="s">
        <v>57</v>
      </c>
      <c r="D49" s="105">
        <f>2105749.09+21606.03</f>
        <v>2127355.1199999996</v>
      </c>
      <c r="E49" s="105"/>
      <c r="F49" s="101">
        <v>0</v>
      </c>
      <c r="G49" s="106"/>
      <c r="H49" s="106">
        <v>2403510.35</v>
      </c>
      <c r="I49" s="101">
        <v>0</v>
      </c>
      <c r="J49" s="101">
        <f t="shared" ref="J49:J59" si="6">D49*0.21</f>
        <v>446744.5751999999</v>
      </c>
      <c r="K49" s="100">
        <f t="shared" ref="K49:K60" si="7">D49+F49+I49+J49</f>
        <v>2574099.6951999995</v>
      </c>
      <c r="L49" s="107"/>
      <c r="M49" s="98"/>
    </row>
    <row r="50" spans="1:17" ht="15.75" x14ac:dyDescent="0.2">
      <c r="A50" s="98"/>
      <c r="B50" s="103" t="s">
        <v>58</v>
      </c>
      <c r="C50" s="104" t="s">
        <v>61</v>
      </c>
      <c r="D50" s="106">
        <f>4195.13+14.18</f>
        <v>4209.3100000000004</v>
      </c>
      <c r="E50" s="106"/>
      <c r="F50" s="101">
        <v>0</v>
      </c>
      <c r="G50" s="106"/>
      <c r="H50" s="106">
        <v>2929.96</v>
      </c>
      <c r="I50" s="101">
        <v>0</v>
      </c>
      <c r="J50" s="101">
        <f t="shared" si="6"/>
        <v>883.95510000000002</v>
      </c>
      <c r="K50" s="100">
        <f t="shared" si="7"/>
        <v>5093.2651000000005</v>
      </c>
      <c r="L50" s="108"/>
      <c r="M50" s="98"/>
    </row>
    <row r="51" spans="1:17" s="98" customFormat="1" ht="15.75" x14ac:dyDescent="0.2">
      <c r="B51" s="103" t="s">
        <v>60</v>
      </c>
      <c r="C51" s="104" t="s">
        <v>59</v>
      </c>
      <c r="D51" s="105">
        <f>1260.53+9.45</f>
        <v>1269.98</v>
      </c>
      <c r="E51" s="106"/>
      <c r="F51" s="101">
        <v>0</v>
      </c>
      <c r="G51" s="106"/>
      <c r="H51" s="106">
        <v>420.57</v>
      </c>
      <c r="I51" s="101">
        <v>0</v>
      </c>
      <c r="J51" s="101">
        <f t="shared" si="6"/>
        <v>266.69580000000002</v>
      </c>
      <c r="K51" s="100">
        <f t="shared" si="7"/>
        <v>1536.6758</v>
      </c>
      <c r="L51" s="108"/>
    </row>
    <row r="52" spans="1:17" ht="15.75" x14ac:dyDescent="0.2">
      <c r="B52" s="28" t="s">
        <v>99</v>
      </c>
      <c r="C52" s="29" t="s">
        <v>64</v>
      </c>
      <c r="D52" s="105">
        <f>140800.01+2009.32</f>
        <v>142809.33000000002</v>
      </c>
      <c r="E52" s="30"/>
      <c r="F52" s="17">
        <v>0</v>
      </c>
      <c r="G52" s="30"/>
      <c r="H52" s="30">
        <v>0</v>
      </c>
      <c r="I52" s="17">
        <v>0</v>
      </c>
      <c r="J52" s="101">
        <f t="shared" si="6"/>
        <v>29989.959300000002</v>
      </c>
      <c r="K52" s="100">
        <f t="shared" si="7"/>
        <v>172799.2893</v>
      </c>
      <c r="L52" s="32"/>
    </row>
    <row r="53" spans="1:17" s="98" customFormat="1" ht="31.5" x14ac:dyDescent="0.2">
      <c r="B53" s="99">
        <v>4.2</v>
      </c>
      <c r="C53" s="50" t="s">
        <v>62</v>
      </c>
      <c r="D53" s="100">
        <f>D54</f>
        <v>41412.1</v>
      </c>
      <c r="E53" s="100"/>
      <c r="F53" s="101">
        <v>0</v>
      </c>
      <c r="G53" s="101"/>
      <c r="H53" s="101">
        <v>241989.85</v>
      </c>
      <c r="I53" s="101">
        <v>0</v>
      </c>
      <c r="J53" s="101">
        <f t="shared" si="6"/>
        <v>8696.5409999999993</v>
      </c>
      <c r="K53" s="100">
        <f t="shared" si="7"/>
        <v>50108.640999999996</v>
      </c>
      <c r="L53" s="102"/>
    </row>
    <row r="54" spans="1:17" ht="15.75" x14ac:dyDescent="0.2">
      <c r="B54" s="28" t="s">
        <v>63</v>
      </c>
      <c r="C54" s="29" t="s">
        <v>61</v>
      </c>
      <c r="D54" s="33">
        <v>41412.1</v>
      </c>
      <c r="E54" s="33"/>
      <c r="F54" s="17">
        <v>0</v>
      </c>
      <c r="G54" s="30"/>
      <c r="H54" s="30">
        <v>37507.370000000003</v>
      </c>
      <c r="I54" s="17">
        <v>0</v>
      </c>
      <c r="J54" s="101">
        <f t="shared" si="6"/>
        <v>8696.5409999999993</v>
      </c>
      <c r="K54" s="100">
        <f t="shared" si="7"/>
        <v>50108.640999999996</v>
      </c>
      <c r="L54" s="34"/>
    </row>
    <row r="55" spans="1:17" ht="31.5" x14ac:dyDescent="0.2">
      <c r="B55" s="15">
        <v>4.3</v>
      </c>
      <c r="C55" s="16" t="s">
        <v>66</v>
      </c>
      <c r="D55" s="31">
        <f>D56</f>
        <v>16000</v>
      </c>
      <c r="E55" s="31"/>
      <c r="F55" s="17">
        <v>0</v>
      </c>
      <c r="G55" s="17"/>
      <c r="H55" s="17">
        <v>75000</v>
      </c>
      <c r="I55" s="17">
        <v>0</v>
      </c>
      <c r="J55" s="101">
        <f t="shared" si="6"/>
        <v>3360</v>
      </c>
      <c r="K55" s="100">
        <f t="shared" si="7"/>
        <v>19360</v>
      </c>
      <c r="L55" s="35"/>
    </row>
    <row r="56" spans="1:17" ht="15.75" x14ac:dyDescent="0.2">
      <c r="B56" s="28" t="s">
        <v>67</v>
      </c>
      <c r="C56" s="29" t="s">
        <v>61</v>
      </c>
      <c r="D56" s="33">
        <v>16000</v>
      </c>
      <c r="E56" s="33"/>
      <c r="F56" s="17">
        <v>0</v>
      </c>
      <c r="G56" s="30"/>
      <c r="H56" s="30">
        <v>75000</v>
      </c>
      <c r="I56" s="17">
        <v>0</v>
      </c>
      <c r="J56" s="101">
        <f t="shared" si="6"/>
        <v>3360</v>
      </c>
      <c r="K56" s="100">
        <f t="shared" si="7"/>
        <v>19360</v>
      </c>
      <c r="L56" s="34"/>
    </row>
    <row r="57" spans="1:17" ht="47.25" x14ac:dyDescent="0.2">
      <c r="B57" s="15">
        <v>4.4000000000000004</v>
      </c>
      <c r="C57" s="16" t="s">
        <v>68</v>
      </c>
      <c r="D57" s="17">
        <v>0</v>
      </c>
      <c r="E57" s="17"/>
      <c r="F57" s="17">
        <v>0</v>
      </c>
      <c r="G57" s="17"/>
      <c r="H57" s="17">
        <v>0</v>
      </c>
      <c r="I57" s="17">
        <v>0</v>
      </c>
      <c r="J57" s="101">
        <f t="shared" si="6"/>
        <v>0</v>
      </c>
      <c r="K57" s="100">
        <f t="shared" si="7"/>
        <v>0</v>
      </c>
      <c r="L57" s="18"/>
      <c r="Q57" s="154"/>
    </row>
    <row r="58" spans="1:17" ht="15.75" x14ac:dyDescent="0.2">
      <c r="B58" s="15">
        <v>4.5</v>
      </c>
      <c r="C58" s="16" t="s">
        <v>69</v>
      </c>
      <c r="D58" s="17">
        <v>0</v>
      </c>
      <c r="E58" s="17"/>
      <c r="F58" s="17">
        <v>0</v>
      </c>
      <c r="G58" s="17"/>
      <c r="H58" s="17">
        <v>0</v>
      </c>
      <c r="I58" s="17">
        <v>0</v>
      </c>
      <c r="J58" s="101">
        <f t="shared" si="6"/>
        <v>0</v>
      </c>
      <c r="K58" s="100">
        <f t="shared" si="7"/>
        <v>0</v>
      </c>
      <c r="L58" s="18"/>
    </row>
    <row r="59" spans="1:17" ht="15.75" x14ac:dyDescent="0.2">
      <c r="B59" s="15">
        <v>4.5999999999999996</v>
      </c>
      <c r="C59" s="16" t="s">
        <v>70</v>
      </c>
      <c r="D59" s="17">
        <v>0</v>
      </c>
      <c r="E59" s="17"/>
      <c r="F59" s="17">
        <v>0</v>
      </c>
      <c r="G59" s="17"/>
      <c r="H59" s="17">
        <v>0</v>
      </c>
      <c r="I59" s="17">
        <v>0</v>
      </c>
      <c r="J59" s="101">
        <f t="shared" si="6"/>
        <v>0</v>
      </c>
      <c r="K59" s="100">
        <f t="shared" si="7"/>
        <v>0</v>
      </c>
      <c r="L59" s="18"/>
    </row>
    <row r="60" spans="1:17" s="127" customFormat="1" ht="15.75" x14ac:dyDescent="0.2">
      <c r="B60" s="171" t="s">
        <v>71</v>
      </c>
      <c r="C60" s="172"/>
      <c r="D60" s="152">
        <f>D48+D53+D55+D57+D58+D59</f>
        <v>2333055.84</v>
      </c>
      <c r="E60" s="109"/>
      <c r="F60" s="110">
        <v>0</v>
      </c>
      <c r="G60" s="110"/>
      <c r="H60" s="110">
        <f>H48+H53+H55+H57+H58+H59</f>
        <v>2723850.73</v>
      </c>
      <c r="I60" s="110">
        <v>0</v>
      </c>
      <c r="J60" s="110">
        <f>D60*0.21</f>
        <v>489941.72639999993</v>
      </c>
      <c r="K60" s="109">
        <f t="shared" si="7"/>
        <v>2822997.5663999999</v>
      </c>
      <c r="L60" s="111"/>
    </row>
    <row r="61" spans="1:17" ht="15.75" x14ac:dyDescent="0.2">
      <c r="B61" s="164" t="s">
        <v>104</v>
      </c>
      <c r="C61" s="165"/>
      <c r="D61" s="165"/>
      <c r="E61" s="165"/>
      <c r="F61" s="165"/>
      <c r="G61" s="165"/>
      <c r="H61" s="165"/>
      <c r="I61" s="165"/>
      <c r="J61" s="165"/>
      <c r="K61" s="165"/>
      <c r="L61" s="166"/>
    </row>
    <row r="62" spans="1:17" ht="15.75" x14ac:dyDescent="0.2">
      <c r="B62" s="15">
        <v>5.0999999999999996</v>
      </c>
      <c r="C62" s="16" t="s">
        <v>72</v>
      </c>
      <c r="D62" s="31">
        <v>0</v>
      </c>
      <c r="E62" s="31"/>
      <c r="F62" s="17">
        <v>0</v>
      </c>
      <c r="G62" s="17"/>
      <c r="H62" s="17">
        <v>60000</v>
      </c>
      <c r="I62" s="17">
        <f>D62*0.21</f>
        <v>0</v>
      </c>
      <c r="J62" s="17">
        <v>0</v>
      </c>
      <c r="K62" s="31">
        <f t="shared" ref="K62:K75" si="8">D62+F62+I62</f>
        <v>0</v>
      </c>
      <c r="L62" s="35"/>
    </row>
    <row r="63" spans="1:17" ht="31.5" x14ac:dyDescent="0.2">
      <c r="B63" s="19" t="s">
        <v>73</v>
      </c>
      <c r="C63" s="16" t="s">
        <v>74</v>
      </c>
      <c r="D63" s="31">
        <v>0</v>
      </c>
      <c r="E63" s="31"/>
      <c r="F63" s="17">
        <v>0</v>
      </c>
      <c r="G63" s="17"/>
      <c r="H63" s="17">
        <v>50000</v>
      </c>
      <c r="I63" s="17">
        <f>D63*0.21</f>
        <v>0</v>
      </c>
      <c r="J63" s="17">
        <v>0</v>
      </c>
      <c r="K63" s="31">
        <f t="shared" si="8"/>
        <v>0</v>
      </c>
      <c r="L63" s="35"/>
    </row>
    <row r="64" spans="1:17" ht="15.75" x14ac:dyDescent="0.2">
      <c r="B64" s="25" t="s">
        <v>75</v>
      </c>
      <c r="C64" s="21" t="s">
        <v>76</v>
      </c>
      <c r="D64" s="36">
        <v>0</v>
      </c>
      <c r="E64" s="36"/>
      <c r="F64" s="17">
        <v>0</v>
      </c>
      <c r="G64" s="22"/>
      <c r="H64" s="23">
        <v>10000</v>
      </c>
      <c r="I64" s="17">
        <f>D64*0.21</f>
        <v>0</v>
      </c>
      <c r="J64" s="17">
        <v>0</v>
      </c>
      <c r="K64" s="31">
        <f t="shared" si="8"/>
        <v>0</v>
      </c>
      <c r="L64" s="37"/>
    </row>
    <row r="65" spans="1:14" s="98" customFormat="1" ht="15.75" x14ac:dyDescent="0.2">
      <c r="B65" s="99">
        <v>5.2</v>
      </c>
      <c r="C65" s="50" t="s">
        <v>77</v>
      </c>
      <c r="D65" s="100">
        <f>D66+D67+D68+D69+D70</f>
        <v>25487.614239999995</v>
      </c>
      <c r="E65" s="100"/>
      <c r="F65" s="101">
        <v>0</v>
      </c>
      <c r="G65" s="101"/>
      <c r="H65" s="101">
        <v>26977.06</v>
      </c>
      <c r="I65" s="101">
        <f>I66+I67+I68+I69+I70</f>
        <v>0</v>
      </c>
      <c r="J65" s="101">
        <v>0</v>
      </c>
      <c r="K65" s="100">
        <f t="shared" si="8"/>
        <v>25487.614239999995</v>
      </c>
      <c r="L65" s="102"/>
    </row>
    <row r="66" spans="1:14" ht="31.5" x14ac:dyDescent="0.2">
      <c r="B66" s="19" t="s">
        <v>78</v>
      </c>
      <c r="C66" s="16" t="s">
        <v>79</v>
      </c>
      <c r="D66" s="17">
        <v>0</v>
      </c>
      <c r="E66" s="17"/>
      <c r="F66" s="17">
        <v>0</v>
      </c>
      <c r="G66" s="17"/>
      <c r="H66" s="17">
        <v>0</v>
      </c>
      <c r="I66" s="17">
        <f>D66*0.21</f>
        <v>0</v>
      </c>
      <c r="J66" s="17">
        <v>0</v>
      </c>
      <c r="K66" s="31">
        <f t="shared" si="8"/>
        <v>0</v>
      </c>
      <c r="L66" s="18"/>
    </row>
    <row r="67" spans="1:14" ht="31.5" x14ac:dyDescent="0.2">
      <c r="A67" s="98"/>
      <c r="B67" s="113" t="s">
        <v>80</v>
      </c>
      <c r="C67" s="50" t="s">
        <v>81</v>
      </c>
      <c r="D67" s="100">
        <f>D85*0.005</f>
        <v>11585.279199999999</v>
      </c>
      <c r="E67" s="100"/>
      <c r="F67" s="101">
        <v>0</v>
      </c>
      <c r="G67" s="101"/>
      <c r="H67" s="101">
        <v>12262.3</v>
      </c>
      <c r="I67" s="101">
        <v>0</v>
      </c>
      <c r="J67" s="101">
        <v>0</v>
      </c>
      <c r="K67" s="100">
        <f t="shared" si="8"/>
        <v>11585.279199999999</v>
      </c>
      <c r="L67" s="102"/>
      <c r="M67" s="98"/>
      <c r="N67" s="98"/>
    </row>
    <row r="68" spans="1:14" ht="47.25" x14ac:dyDescent="0.2">
      <c r="A68" s="98"/>
      <c r="B68" s="113" t="s">
        <v>82</v>
      </c>
      <c r="C68" s="50" t="s">
        <v>83</v>
      </c>
      <c r="D68" s="100">
        <f>D85*0.001</f>
        <v>2317.05584</v>
      </c>
      <c r="E68" s="101"/>
      <c r="F68" s="101">
        <v>0</v>
      </c>
      <c r="G68" s="101"/>
      <c r="H68" s="101">
        <v>2452.46</v>
      </c>
      <c r="I68" s="101">
        <v>0</v>
      </c>
      <c r="J68" s="101">
        <v>0</v>
      </c>
      <c r="K68" s="100">
        <f t="shared" si="8"/>
        <v>2317.05584</v>
      </c>
      <c r="L68" s="112"/>
      <c r="M68" s="98"/>
      <c r="N68" s="98"/>
    </row>
    <row r="69" spans="1:14" ht="31.5" x14ac:dyDescent="0.2">
      <c r="A69" s="98"/>
      <c r="B69" s="113" t="s">
        <v>84</v>
      </c>
      <c r="C69" s="50" t="s">
        <v>85</v>
      </c>
      <c r="D69" s="100">
        <f>D85*0.005</f>
        <v>11585.279199999999</v>
      </c>
      <c r="E69" s="100"/>
      <c r="F69" s="101">
        <v>0</v>
      </c>
      <c r="G69" s="101"/>
      <c r="H69" s="101">
        <v>12262.3</v>
      </c>
      <c r="I69" s="101">
        <v>0</v>
      </c>
      <c r="J69" s="101">
        <v>0</v>
      </c>
      <c r="K69" s="100">
        <f t="shared" si="8"/>
        <v>11585.279199999999</v>
      </c>
      <c r="L69" s="102"/>
      <c r="M69" s="98"/>
      <c r="N69" s="98"/>
    </row>
    <row r="70" spans="1:14" ht="31.5" x14ac:dyDescent="0.2">
      <c r="A70" s="98"/>
      <c r="B70" s="113" t="s">
        <v>86</v>
      </c>
      <c r="C70" s="50" t="s">
        <v>87</v>
      </c>
      <c r="D70" s="101">
        <v>0</v>
      </c>
      <c r="E70" s="101"/>
      <c r="F70" s="101">
        <v>0</v>
      </c>
      <c r="G70" s="101"/>
      <c r="H70" s="101">
        <v>0</v>
      </c>
      <c r="I70" s="101">
        <f>D70*0.21</f>
        <v>0</v>
      </c>
      <c r="J70" s="101">
        <v>0</v>
      </c>
      <c r="K70" s="100">
        <f t="shared" si="8"/>
        <v>0</v>
      </c>
      <c r="L70" s="112"/>
      <c r="M70" s="98"/>
      <c r="N70" s="98"/>
    </row>
    <row r="71" spans="1:14" ht="15.75" x14ac:dyDescent="0.2">
      <c r="B71" s="15">
        <v>5.3</v>
      </c>
      <c r="C71" s="16" t="s">
        <v>88</v>
      </c>
      <c r="D71" s="31">
        <v>301798.12</v>
      </c>
      <c r="E71" s="31"/>
      <c r="F71" s="17">
        <v>0</v>
      </c>
      <c r="G71" s="17"/>
      <c r="H71" s="17">
        <v>242302.81</v>
      </c>
      <c r="I71" s="17">
        <v>0</v>
      </c>
      <c r="J71" s="17">
        <f>D71*0.21</f>
        <v>63377.605199999998</v>
      </c>
      <c r="K71" s="31">
        <f t="shared" si="8"/>
        <v>301798.12</v>
      </c>
      <c r="L71" s="35"/>
    </row>
    <row r="72" spans="1:14" ht="15.75" x14ac:dyDescent="0.2">
      <c r="A72" s="98"/>
      <c r="B72" s="99">
        <v>5.4</v>
      </c>
      <c r="C72" s="50" t="s">
        <v>89</v>
      </c>
      <c r="D72" s="100">
        <v>2000</v>
      </c>
      <c r="E72" s="101"/>
      <c r="F72" s="101">
        <v>0</v>
      </c>
      <c r="G72" s="101"/>
      <c r="H72" s="101">
        <v>2000</v>
      </c>
      <c r="I72" s="101">
        <f>I73+J74</f>
        <v>416.47899999999998</v>
      </c>
      <c r="J72" s="101">
        <v>0</v>
      </c>
      <c r="K72" s="100">
        <f>D72+J74+I73</f>
        <v>2416.4790000000003</v>
      </c>
      <c r="L72" s="112"/>
    </row>
    <row r="73" spans="1:14" ht="31.5" x14ac:dyDescent="0.2">
      <c r="A73" s="98"/>
      <c r="B73" s="153" t="s">
        <v>115</v>
      </c>
      <c r="C73" s="50" t="s">
        <v>117</v>
      </c>
      <c r="D73" s="100">
        <v>176.05</v>
      </c>
      <c r="E73" s="101"/>
      <c r="F73" s="101">
        <v>0</v>
      </c>
      <c r="G73" s="101"/>
      <c r="H73" s="101"/>
      <c r="I73" s="101">
        <f>D73*0.19</f>
        <v>33.4495</v>
      </c>
      <c r="J73" s="101">
        <v>0</v>
      </c>
      <c r="K73" s="100">
        <f>D73+I73</f>
        <v>209.49950000000001</v>
      </c>
      <c r="L73" s="112"/>
    </row>
    <row r="74" spans="1:14" ht="31.5" x14ac:dyDescent="0.2">
      <c r="A74" s="98"/>
      <c r="B74" s="153" t="s">
        <v>116</v>
      </c>
      <c r="C74" s="50" t="s">
        <v>121</v>
      </c>
      <c r="D74" s="100">
        <v>1823.95</v>
      </c>
      <c r="E74" s="101"/>
      <c r="F74" s="101">
        <v>0</v>
      </c>
      <c r="G74" s="101"/>
      <c r="H74" s="101"/>
      <c r="I74" s="101">
        <v>0</v>
      </c>
      <c r="J74" s="101">
        <f>D74*0.21</f>
        <v>383.02949999999998</v>
      </c>
      <c r="K74" s="100">
        <f>D74+J74</f>
        <v>2206.9794999999999</v>
      </c>
      <c r="L74" s="112"/>
    </row>
    <row r="75" spans="1:14" s="126" customFormat="1" ht="15.75" x14ac:dyDescent="0.2">
      <c r="A75" s="127"/>
      <c r="B75" s="171" t="s">
        <v>90</v>
      </c>
      <c r="C75" s="172"/>
      <c r="D75" s="109">
        <f>D62+D65+D71+D72</f>
        <v>329285.73424000002</v>
      </c>
      <c r="E75" s="109"/>
      <c r="F75" s="110">
        <v>0</v>
      </c>
      <c r="G75" s="110"/>
      <c r="H75" s="110">
        <f>H62+H65+H71+H72</f>
        <v>331279.87</v>
      </c>
      <c r="I75" s="110">
        <f>I73</f>
        <v>33.4495</v>
      </c>
      <c r="J75" s="110">
        <f>J74+J71</f>
        <v>63760.634699999995</v>
      </c>
      <c r="K75" s="109">
        <f t="shared" si="8"/>
        <v>329319.18374000001</v>
      </c>
      <c r="L75" s="111"/>
    </row>
    <row r="76" spans="1:14" ht="15.75" x14ac:dyDescent="0.2">
      <c r="A76" s="98"/>
      <c r="B76" s="192" t="s">
        <v>110</v>
      </c>
      <c r="C76" s="193"/>
      <c r="D76" s="193"/>
      <c r="E76" s="193"/>
      <c r="F76" s="193"/>
      <c r="G76" s="193"/>
      <c r="H76" s="193"/>
      <c r="I76" s="193"/>
      <c r="J76" s="193"/>
      <c r="K76" s="193"/>
      <c r="L76" s="194"/>
    </row>
    <row r="77" spans="1:14" ht="15.75" x14ac:dyDescent="0.2">
      <c r="A77" s="98"/>
      <c r="B77" s="99">
        <v>6.1</v>
      </c>
      <c r="C77" s="50" t="s">
        <v>91</v>
      </c>
      <c r="D77" s="101">
        <v>0</v>
      </c>
      <c r="E77" s="101">
        <v>0</v>
      </c>
      <c r="F77" s="101">
        <v>0</v>
      </c>
      <c r="G77" s="101">
        <v>0</v>
      </c>
      <c r="H77" s="101"/>
      <c r="I77" s="101">
        <v>0</v>
      </c>
      <c r="J77" s="101">
        <v>0</v>
      </c>
      <c r="K77" s="101">
        <v>0</v>
      </c>
      <c r="L77" s="112">
        <v>0</v>
      </c>
    </row>
    <row r="78" spans="1:14" ht="15.75" x14ac:dyDescent="0.2">
      <c r="A78" s="98"/>
      <c r="B78" s="99">
        <v>6.2</v>
      </c>
      <c r="C78" s="50" t="s">
        <v>92</v>
      </c>
      <c r="D78" s="101">
        <v>0</v>
      </c>
      <c r="E78" s="101">
        <v>0</v>
      </c>
      <c r="F78" s="101">
        <v>0</v>
      </c>
      <c r="G78" s="101">
        <v>0</v>
      </c>
      <c r="H78" s="101"/>
      <c r="I78" s="101">
        <v>0</v>
      </c>
      <c r="J78" s="101">
        <v>0</v>
      </c>
      <c r="K78" s="101">
        <v>0</v>
      </c>
      <c r="L78" s="112">
        <v>0</v>
      </c>
    </row>
    <row r="79" spans="1:14" ht="15.75" x14ac:dyDescent="0.2">
      <c r="A79" s="98"/>
      <c r="B79" s="171" t="s">
        <v>93</v>
      </c>
      <c r="C79" s="172"/>
      <c r="D79" s="110">
        <v>0</v>
      </c>
      <c r="E79" s="110">
        <v>0</v>
      </c>
      <c r="F79" s="110">
        <v>0</v>
      </c>
      <c r="G79" s="110">
        <v>0</v>
      </c>
      <c r="H79" s="110"/>
      <c r="I79" s="110">
        <v>0</v>
      </c>
      <c r="J79" s="110">
        <v>0</v>
      </c>
      <c r="K79" s="110">
        <v>0</v>
      </c>
      <c r="L79" s="120">
        <v>0</v>
      </c>
    </row>
    <row r="80" spans="1:14" ht="15.75" x14ac:dyDescent="0.2">
      <c r="A80" s="98"/>
      <c r="B80" s="192" t="s">
        <v>111</v>
      </c>
      <c r="C80" s="193"/>
      <c r="D80" s="193"/>
      <c r="E80" s="193"/>
      <c r="F80" s="193"/>
      <c r="G80" s="193"/>
      <c r="H80" s="193"/>
      <c r="I80" s="193"/>
      <c r="J80" s="193"/>
      <c r="K80" s="193"/>
      <c r="L80" s="194"/>
    </row>
    <row r="81" spans="1:12" ht="15.75" x14ac:dyDescent="0.2">
      <c r="A81" s="98"/>
      <c r="B81" s="99">
        <v>7.1</v>
      </c>
      <c r="C81" s="50" t="s">
        <v>94</v>
      </c>
      <c r="D81" s="101">
        <v>0</v>
      </c>
      <c r="E81" s="101">
        <v>0</v>
      </c>
      <c r="F81" s="100">
        <v>0</v>
      </c>
      <c r="G81" s="100">
        <v>60758.96</v>
      </c>
      <c r="H81" s="100">
        <v>60758.96</v>
      </c>
      <c r="I81" s="101">
        <f>F81*0.21</f>
        <v>0</v>
      </c>
      <c r="J81" s="101">
        <v>0</v>
      </c>
      <c r="K81" s="100">
        <f t="shared" ref="K81" si="9">D81+F81+I81</f>
        <v>0</v>
      </c>
      <c r="L81" s="102"/>
    </row>
    <row r="82" spans="1:12" ht="31.5" x14ac:dyDescent="0.2">
      <c r="A82" s="98"/>
      <c r="B82" s="99">
        <v>7.2</v>
      </c>
      <c r="C82" s="50" t="s">
        <v>95</v>
      </c>
      <c r="D82" s="101">
        <v>0</v>
      </c>
      <c r="E82" s="101">
        <v>0</v>
      </c>
      <c r="F82" s="100">
        <v>137992.24</v>
      </c>
      <c r="G82" s="100">
        <v>88900.28</v>
      </c>
      <c r="H82" s="100">
        <v>88900.28</v>
      </c>
      <c r="I82" s="101">
        <v>0</v>
      </c>
      <c r="J82" s="101">
        <f>F82*0.21</f>
        <v>28978.370399999996</v>
      </c>
      <c r="K82" s="100">
        <f>D82+F82+I82+J82</f>
        <v>166970.61039999998</v>
      </c>
      <c r="L82" s="102"/>
    </row>
    <row r="83" spans="1:12" ht="15.75" x14ac:dyDescent="0.2">
      <c r="A83" s="98"/>
      <c r="B83" s="171" t="s">
        <v>96</v>
      </c>
      <c r="C83" s="172"/>
      <c r="D83" s="110">
        <f>D81+D82</f>
        <v>0</v>
      </c>
      <c r="E83" s="110">
        <v>0</v>
      </c>
      <c r="F83" s="110">
        <f>F81+F82</f>
        <v>137992.24</v>
      </c>
      <c r="G83" s="110">
        <f t="shared" ref="G83:H83" si="10">G81+G82</f>
        <v>149659.24</v>
      </c>
      <c r="H83" s="110">
        <f t="shared" si="10"/>
        <v>149659.24</v>
      </c>
      <c r="I83" s="110">
        <f>I81+I82</f>
        <v>0</v>
      </c>
      <c r="J83" s="101">
        <f>F83*0.21</f>
        <v>28978.370399999996</v>
      </c>
      <c r="K83" s="101">
        <f>D83+F83+I83+J83</f>
        <v>166970.61039999998</v>
      </c>
      <c r="L83" s="111"/>
    </row>
    <row r="84" spans="1:12" ht="15.75" x14ac:dyDescent="0.2">
      <c r="A84" s="98"/>
      <c r="B84" s="169" t="s">
        <v>98</v>
      </c>
      <c r="C84" s="170"/>
      <c r="D84" s="92">
        <f>D15+D18+D46+D60+D75+D79+D83</f>
        <v>2742764.9309066664</v>
      </c>
      <c r="E84" s="92">
        <f>E15+E18+E46+E60+E75+E79+E83</f>
        <v>0</v>
      </c>
      <c r="F84" s="92">
        <f>F15+F18+F46+F60+F75+F79+F83</f>
        <v>148825.56999999998</v>
      </c>
      <c r="G84" s="92">
        <f>G15+G18+G46+G60+G75+G79+G83</f>
        <v>149659.24</v>
      </c>
      <c r="H84" s="92">
        <f>H15+H18+H46+H60+H75+H79+H83</f>
        <v>3296604.0200000005</v>
      </c>
      <c r="I84" s="92">
        <f>I15+I18+I46+I60+I75+I79+I83</f>
        <v>11037.300766666664</v>
      </c>
      <c r="J84" s="92">
        <f>J83+J60+J46+J18+J15</f>
        <v>525921.84959999996</v>
      </c>
      <c r="K84" s="121">
        <f>D84+F84+I84+J84</f>
        <v>3428549.651273333</v>
      </c>
      <c r="L84" s="122"/>
    </row>
    <row r="85" spans="1:12" ht="15.75" x14ac:dyDescent="0.2">
      <c r="A85" s="98"/>
      <c r="B85" s="171" t="s">
        <v>97</v>
      </c>
      <c r="C85" s="172"/>
      <c r="D85" s="110">
        <f>D15+D18+D48+D53+D63</f>
        <v>2317055.84</v>
      </c>
      <c r="E85" s="110">
        <f>E15+E18+E48+E53+E63</f>
        <v>0</v>
      </c>
      <c r="F85" s="110">
        <f>F15+F18+F48+F53+F63</f>
        <v>0</v>
      </c>
      <c r="G85" s="110">
        <f>G15+G18+G48+G53+G63</f>
        <v>0</v>
      </c>
      <c r="H85" s="110">
        <f>H15+H18+H48+H53+H63</f>
        <v>2698850.73</v>
      </c>
      <c r="I85" s="110">
        <v>0</v>
      </c>
      <c r="J85" s="110">
        <f>D85*0.21</f>
        <v>486581.72639999993</v>
      </c>
      <c r="K85" s="110">
        <f>D85+F85+I85+J85</f>
        <v>2803637.5663999999</v>
      </c>
      <c r="L85" s="111"/>
    </row>
    <row r="86" spans="1:12" x14ac:dyDescent="0.2">
      <c r="A86" s="98"/>
      <c r="B86" s="3"/>
      <c r="C86" s="3"/>
      <c r="D86" s="123"/>
      <c r="E86" s="123"/>
      <c r="F86" s="123"/>
      <c r="G86" s="123"/>
      <c r="H86" s="123"/>
      <c r="I86" s="123"/>
      <c r="J86" s="123"/>
      <c r="K86" s="123"/>
      <c r="L86" s="124"/>
    </row>
    <row r="87" spans="1:12" x14ac:dyDescent="0.2">
      <c r="A87" s="98"/>
      <c r="B87" s="3"/>
      <c r="C87" s="3"/>
      <c r="D87" s="123"/>
      <c r="E87" s="123"/>
      <c r="F87" s="123"/>
      <c r="G87" s="123"/>
      <c r="H87" s="123"/>
      <c r="I87" s="123"/>
      <c r="J87" s="123"/>
      <c r="K87" s="123"/>
      <c r="L87" s="124"/>
    </row>
    <row r="88" spans="1:12" x14ac:dyDescent="0.2">
      <c r="A88" s="98"/>
      <c r="B88" s="3"/>
      <c r="C88" s="3"/>
      <c r="D88" s="123"/>
      <c r="E88" s="123"/>
      <c r="F88" s="123"/>
      <c r="G88" s="123"/>
      <c r="H88" s="123"/>
      <c r="I88" s="123"/>
      <c r="J88" s="123"/>
      <c r="K88" s="123"/>
      <c r="L88" s="124"/>
    </row>
    <row r="89" spans="1:12" s="86" customFormat="1" ht="15.75" x14ac:dyDescent="0.25">
      <c r="B89" s="173"/>
      <c r="C89" s="173"/>
      <c r="D89" s="173"/>
      <c r="E89" s="173"/>
      <c r="F89" s="173"/>
      <c r="G89" s="173"/>
      <c r="H89" s="173"/>
      <c r="I89" s="173"/>
      <c r="J89" s="173"/>
      <c r="K89" s="173"/>
      <c r="L89" s="173"/>
    </row>
    <row r="90" spans="1:12" ht="15.75" x14ac:dyDescent="0.25">
      <c r="B90" s="2"/>
      <c r="C90" s="163" t="s">
        <v>148</v>
      </c>
      <c r="D90" s="205"/>
      <c r="E90" s="205"/>
      <c r="F90" s="205"/>
      <c r="G90" s="205"/>
      <c r="H90" s="205"/>
      <c r="I90" s="205" t="s">
        <v>134</v>
      </c>
      <c r="J90" s="205"/>
      <c r="K90" s="2"/>
      <c r="L90" s="2"/>
    </row>
    <row r="91" spans="1:12" ht="15.75" x14ac:dyDescent="0.2">
      <c r="C91" s="207" t="s">
        <v>147</v>
      </c>
      <c r="D91" s="85"/>
      <c r="E91" s="85"/>
      <c r="F91" s="208" t="s">
        <v>149</v>
      </c>
      <c r="G91" s="208"/>
      <c r="H91" s="208"/>
      <c r="I91" s="208"/>
      <c r="J91" s="208"/>
    </row>
  </sheetData>
  <mergeCells count="25">
    <mergeCell ref="F91:J91"/>
    <mergeCell ref="B5:L5"/>
    <mergeCell ref="B6:B7"/>
    <mergeCell ref="C6:C7"/>
    <mergeCell ref="D6:E6"/>
    <mergeCell ref="F6:G6"/>
    <mergeCell ref="K6:L6"/>
    <mergeCell ref="I6:J6"/>
    <mergeCell ref="B79:C79"/>
    <mergeCell ref="B10:L10"/>
    <mergeCell ref="B15:C15"/>
    <mergeCell ref="B17:L17"/>
    <mergeCell ref="B18:C18"/>
    <mergeCell ref="B19:L19"/>
    <mergeCell ref="B46:C46"/>
    <mergeCell ref="B47:L47"/>
    <mergeCell ref="B60:C60"/>
    <mergeCell ref="B61:L61"/>
    <mergeCell ref="B75:C75"/>
    <mergeCell ref="B76:L76"/>
    <mergeCell ref="B80:L80"/>
    <mergeCell ref="B83:C83"/>
    <mergeCell ref="B84:C84"/>
    <mergeCell ref="B85:C85"/>
    <mergeCell ref="B89:L8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241ED-10D5-40CB-8BE8-57BBD8DF52DB}">
  <sheetPr>
    <tabColor rgb="FF92D050"/>
  </sheetPr>
  <dimension ref="A3:P92"/>
  <sheetViews>
    <sheetView topLeftCell="A15" workbookViewId="0">
      <selection activeCell="C90" sqref="C90:J91"/>
    </sheetView>
  </sheetViews>
  <sheetFormatPr defaultRowHeight="12.75" x14ac:dyDescent="0.2"/>
  <cols>
    <col min="3" max="3" width="52.83203125" customWidth="1"/>
    <col min="4" max="4" width="17.5" customWidth="1"/>
    <col min="5" max="5" width="0" hidden="1" customWidth="1"/>
    <col min="6" max="6" width="17.6640625" customWidth="1"/>
    <col min="7" max="8" width="0" hidden="1" customWidth="1"/>
    <col min="9" max="10" width="14.83203125" customWidth="1"/>
    <col min="11" max="11" width="17.83203125" customWidth="1"/>
    <col min="12" max="12" width="0" hidden="1" customWidth="1"/>
    <col min="16" max="16" width="10.6640625" customWidth="1"/>
  </cols>
  <sheetData>
    <row r="3" spans="2:12" ht="15.75" x14ac:dyDescent="0.2"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2:12" ht="15.75" x14ac:dyDescent="0.2"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</row>
    <row r="5" spans="2:12" ht="99.75" customHeight="1" x14ac:dyDescent="0.2">
      <c r="B5" s="203" t="s">
        <v>139</v>
      </c>
      <c r="C5" s="204"/>
      <c r="D5" s="204"/>
      <c r="E5" s="204"/>
      <c r="F5" s="204"/>
      <c r="G5" s="204"/>
      <c r="H5" s="204"/>
      <c r="I5" s="204"/>
      <c r="J5" s="204"/>
      <c r="K5" s="204"/>
      <c r="L5" s="204"/>
    </row>
    <row r="6" spans="2:12" ht="48.75" customHeight="1" x14ac:dyDescent="0.2">
      <c r="B6" s="177" t="s">
        <v>0</v>
      </c>
      <c r="C6" s="179" t="s">
        <v>1</v>
      </c>
      <c r="D6" s="181" t="s">
        <v>2</v>
      </c>
      <c r="E6" s="182"/>
      <c r="F6" s="181" t="s">
        <v>3</v>
      </c>
      <c r="G6" s="182"/>
      <c r="H6" s="129" t="s">
        <v>100</v>
      </c>
      <c r="I6" s="198" t="s">
        <v>4</v>
      </c>
      <c r="J6" s="199"/>
      <c r="K6" s="183" t="s">
        <v>5</v>
      </c>
      <c r="L6" s="183"/>
    </row>
    <row r="7" spans="2:12" ht="15.75" x14ac:dyDescent="0.2">
      <c r="B7" s="178"/>
      <c r="C7" s="180"/>
      <c r="D7" s="44" t="s">
        <v>6</v>
      </c>
      <c r="E7" s="44" t="s">
        <v>7</v>
      </c>
      <c r="F7" s="44" t="s">
        <v>6</v>
      </c>
      <c r="G7" s="44" t="s">
        <v>7</v>
      </c>
      <c r="H7" s="44" t="s">
        <v>6</v>
      </c>
      <c r="I7" s="43" t="s">
        <v>123</v>
      </c>
      <c r="J7" s="43" t="s">
        <v>112</v>
      </c>
      <c r="K7" s="43" t="s">
        <v>6</v>
      </c>
      <c r="L7" s="84" t="s">
        <v>7</v>
      </c>
    </row>
    <row r="8" spans="2:12" ht="15.75" x14ac:dyDescent="0.2">
      <c r="B8" s="45">
        <v>1</v>
      </c>
      <c r="C8" s="46">
        <v>2</v>
      </c>
      <c r="D8" s="46">
        <v>3</v>
      </c>
      <c r="E8" s="46">
        <v>4</v>
      </c>
      <c r="F8" s="46">
        <v>4</v>
      </c>
      <c r="G8" s="46">
        <v>6</v>
      </c>
      <c r="H8" s="46">
        <v>5</v>
      </c>
      <c r="I8" s="46">
        <v>5</v>
      </c>
      <c r="J8" s="46">
        <v>6</v>
      </c>
      <c r="K8" s="46">
        <v>7</v>
      </c>
      <c r="L8" s="47">
        <v>9</v>
      </c>
    </row>
    <row r="9" spans="2:12" ht="15.75" x14ac:dyDescent="0.25"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</row>
    <row r="10" spans="2:12" ht="15.75" x14ac:dyDescent="0.2">
      <c r="B10" s="174" t="s">
        <v>107</v>
      </c>
      <c r="C10" s="175"/>
      <c r="D10" s="175"/>
      <c r="E10" s="175"/>
      <c r="F10" s="175"/>
      <c r="G10" s="175"/>
      <c r="H10" s="175"/>
      <c r="I10" s="175"/>
      <c r="J10" s="175"/>
      <c r="K10" s="175"/>
      <c r="L10" s="176"/>
    </row>
    <row r="11" spans="2:12" ht="15.75" x14ac:dyDescent="0.2">
      <c r="B11" s="49">
        <v>1.1000000000000001</v>
      </c>
      <c r="C11" s="50" t="s">
        <v>8</v>
      </c>
      <c r="D11" s="51">
        <v>0</v>
      </c>
      <c r="E11" s="51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2">
        <v>0</v>
      </c>
    </row>
    <row r="12" spans="2:12" ht="15.75" x14ac:dyDescent="0.2">
      <c r="B12" s="49">
        <v>1.2</v>
      </c>
      <c r="C12" s="50" t="s">
        <v>9</v>
      </c>
      <c r="D12" s="51">
        <v>0</v>
      </c>
      <c r="E12" s="51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2">
        <v>0</v>
      </c>
    </row>
    <row r="13" spans="2:12" ht="31.5" x14ac:dyDescent="0.2">
      <c r="B13" s="49">
        <v>1.3</v>
      </c>
      <c r="C13" s="50" t="s">
        <v>10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2">
        <v>0</v>
      </c>
    </row>
    <row r="14" spans="2:12" ht="15.75" x14ac:dyDescent="0.2">
      <c r="B14" s="49">
        <v>1.4</v>
      </c>
      <c r="C14" s="50" t="s">
        <v>11</v>
      </c>
      <c r="D14" s="51">
        <v>0</v>
      </c>
      <c r="E14" s="51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2">
        <v>0</v>
      </c>
    </row>
    <row r="15" spans="2:12" ht="15.75" x14ac:dyDescent="0.2">
      <c r="B15" s="171" t="s">
        <v>12</v>
      </c>
      <c r="C15" s="172"/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4">
        <v>0</v>
      </c>
    </row>
    <row r="16" spans="2:12" ht="15.75" x14ac:dyDescent="0.25"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</row>
    <row r="17" spans="2:12" ht="15.75" x14ac:dyDescent="0.2">
      <c r="B17" s="174" t="s">
        <v>102</v>
      </c>
      <c r="C17" s="175"/>
      <c r="D17" s="175"/>
      <c r="E17" s="175"/>
      <c r="F17" s="175"/>
      <c r="G17" s="175"/>
      <c r="H17" s="175"/>
      <c r="I17" s="175"/>
      <c r="J17" s="175"/>
      <c r="K17" s="175"/>
      <c r="L17" s="176"/>
    </row>
    <row r="18" spans="2:12" ht="15.75" x14ac:dyDescent="0.2">
      <c r="B18" s="171" t="s">
        <v>13</v>
      </c>
      <c r="C18" s="172"/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4">
        <v>0</v>
      </c>
    </row>
    <row r="19" spans="2:12" ht="15.75" x14ac:dyDescent="0.2">
      <c r="B19" s="174" t="s">
        <v>130</v>
      </c>
      <c r="C19" s="175"/>
      <c r="D19" s="175"/>
      <c r="E19" s="175"/>
      <c r="F19" s="175"/>
      <c r="G19" s="175"/>
      <c r="H19" s="175"/>
      <c r="I19" s="175"/>
      <c r="J19" s="175"/>
      <c r="K19" s="175"/>
      <c r="L19" s="176"/>
    </row>
    <row r="20" spans="2:12" ht="15.75" x14ac:dyDescent="0.2">
      <c r="B20" s="15">
        <v>3.1</v>
      </c>
      <c r="C20" s="16" t="s">
        <v>14</v>
      </c>
      <c r="D20" s="17">
        <v>1666.67</v>
      </c>
      <c r="E20" s="17"/>
      <c r="F20" s="17">
        <v>0</v>
      </c>
      <c r="G20" s="17">
        <v>0</v>
      </c>
      <c r="H20" s="17">
        <v>1666.67</v>
      </c>
      <c r="I20" s="17">
        <f t="shared" ref="I20:I25" si="0">D20*0.19</f>
        <v>316.66730000000001</v>
      </c>
      <c r="J20" s="17">
        <v>0</v>
      </c>
      <c r="K20" s="17">
        <f t="shared" ref="K20:K25" si="1">D20+F20+I20</f>
        <v>1983.3373000000001</v>
      </c>
      <c r="L20" s="18"/>
    </row>
    <row r="21" spans="2:12" ht="15.75" x14ac:dyDescent="0.2">
      <c r="B21" s="19" t="s">
        <v>15</v>
      </c>
      <c r="C21" s="16" t="s">
        <v>16</v>
      </c>
      <c r="D21" s="17">
        <v>1666.67</v>
      </c>
      <c r="E21" s="17"/>
      <c r="F21" s="17">
        <v>0</v>
      </c>
      <c r="G21" s="17">
        <v>0</v>
      </c>
      <c r="H21" s="17">
        <v>1666.67</v>
      </c>
      <c r="I21" s="17">
        <f t="shared" si="0"/>
        <v>316.66730000000001</v>
      </c>
      <c r="J21" s="17">
        <v>0</v>
      </c>
      <c r="K21" s="17">
        <f t="shared" si="1"/>
        <v>1983.3373000000001</v>
      </c>
      <c r="L21" s="18"/>
    </row>
    <row r="22" spans="2:12" ht="15.75" x14ac:dyDescent="0.2">
      <c r="B22" s="19" t="s">
        <v>17</v>
      </c>
      <c r="C22" s="16" t="s">
        <v>18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f t="shared" si="0"/>
        <v>0</v>
      </c>
      <c r="J22" s="17">
        <v>0</v>
      </c>
      <c r="K22" s="17">
        <f t="shared" si="1"/>
        <v>0</v>
      </c>
      <c r="L22" s="18">
        <v>0</v>
      </c>
    </row>
    <row r="23" spans="2:12" ht="15.75" x14ac:dyDescent="0.2">
      <c r="B23" s="19" t="s">
        <v>19</v>
      </c>
      <c r="C23" s="16" t="s">
        <v>20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f t="shared" si="0"/>
        <v>0</v>
      </c>
      <c r="J23" s="17">
        <v>0</v>
      </c>
      <c r="K23" s="17">
        <f t="shared" si="1"/>
        <v>0</v>
      </c>
      <c r="L23" s="18">
        <v>0</v>
      </c>
    </row>
    <row r="24" spans="2:12" ht="31.5" x14ac:dyDescent="0.2">
      <c r="B24" s="20">
        <v>3.2</v>
      </c>
      <c r="C24" s="21" t="s">
        <v>21</v>
      </c>
      <c r="D24" s="22">
        <v>166.66666666666666</v>
      </c>
      <c r="E24" s="22"/>
      <c r="F24" s="22">
        <v>0</v>
      </c>
      <c r="G24" s="22">
        <v>0</v>
      </c>
      <c r="H24" s="23">
        <v>166.67</v>
      </c>
      <c r="I24" s="17">
        <f t="shared" si="0"/>
        <v>31.666666666666664</v>
      </c>
      <c r="J24" s="17">
        <v>0</v>
      </c>
      <c r="K24" s="17">
        <f t="shared" si="1"/>
        <v>198.33333333333331</v>
      </c>
      <c r="L24" s="24"/>
    </row>
    <row r="25" spans="2:12" ht="15.75" x14ac:dyDescent="0.2">
      <c r="B25" s="15">
        <v>3.3</v>
      </c>
      <c r="C25" s="16" t="s">
        <v>22</v>
      </c>
      <c r="D25" s="17">
        <v>1250</v>
      </c>
      <c r="E25" s="17"/>
      <c r="F25" s="17">
        <v>0</v>
      </c>
      <c r="G25" s="17">
        <v>0</v>
      </c>
      <c r="H25" s="17">
        <v>1250</v>
      </c>
      <c r="I25" s="17">
        <f t="shared" si="0"/>
        <v>237.5</v>
      </c>
      <c r="J25" s="17">
        <v>0</v>
      </c>
      <c r="K25" s="17">
        <f t="shared" si="1"/>
        <v>1487.5</v>
      </c>
      <c r="L25" s="18"/>
    </row>
    <row r="26" spans="2:12" ht="31.5" x14ac:dyDescent="0.2">
      <c r="B26" s="15">
        <v>3.4</v>
      </c>
      <c r="C26" s="16" t="s">
        <v>23</v>
      </c>
      <c r="D26" s="17">
        <f>D27+D28</f>
        <v>4666.67</v>
      </c>
      <c r="E26" s="17"/>
      <c r="F26" s="17">
        <v>0</v>
      </c>
      <c r="G26" s="17">
        <v>0</v>
      </c>
      <c r="H26" s="17">
        <v>2000</v>
      </c>
      <c r="I26" s="17">
        <f>I27+J28</f>
        <v>966.66729999999995</v>
      </c>
      <c r="J26" s="17"/>
      <c r="K26" s="17">
        <f>K27+K28</f>
        <v>5633.3373000000001</v>
      </c>
      <c r="L26" s="18"/>
    </row>
    <row r="27" spans="2:12" ht="31.5" x14ac:dyDescent="0.2">
      <c r="B27" s="15" t="s">
        <v>113</v>
      </c>
      <c r="C27" s="16" t="s">
        <v>119</v>
      </c>
      <c r="D27" s="17">
        <v>666.67</v>
      </c>
      <c r="E27" s="17"/>
      <c r="F27" s="17">
        <v>0</v>
      </c>
      <c r="G27" s="17"/>
      <c r="H27" s="17"/>
      <c r="I27" s="17">
        <f>D27*0.19</f>
        <v>126.6673</v>
      </c>
      <c r="J27" s="17">
        <v>0</v>
      </c>
      <c r="K27" s="17">
        <f>D27+F27+I27</f>
        <v>793.33729999999991</v>
      </c>
      <c r="L27" s="18"/>
    </row>
    <row r="28" spans="2:12" ht="31.5" x14ac:dyDescent="0.2">
      <c r="B28" s="15" t="s">
        <v>114</v>
      </c>
      <c r="C28" s="16" t="s">
        <v>120</v>
      </c>
      <c r="D28" s="17">
        <v>4000</v>
      </c>
      <c r="E28" s="17"/>
      <c r="F28" s="17">
        <v>0</v>
      </c>
      <c r="G28" s="17"/>
      <c r="H28" s="17"/>
      <c r="I28" s="17">
        <v>0</v>
      </c>
      <c r="J28" s="17">
        <f>D28*0.21</f>
        <v>840</v>
      </c>
      <c r="K28" s="17">
        <f>+D28+F28+I28+J28</f>
        <v>4840</v>
      </c>
      <c r="L28" s="18"/>
    </row>
    <row r="29" spans="2:12" ht="15.75" x14ac:dyDescent="0.2">
      <c r="B29" s="15">
        <v>3.5</v>
      </c>
      <c r="C29" s="16" t="s">
        <v>24</v>
      </c>
      <c r="D29" s="17">
        <f>D30+D31+D32+D33+D34+D35</f>
        <v>48331.67</v>
      </c>
      <c r="E29" s="17"/>
      <c r="F29" s="17">
        <v>0</v>
      </c>
      <c r="G29" s="17">
        <v>0</v>
      </c>
      <c r="H29" s="17">
        <v>48164.17</v>
      </c>
      <c r="I29" s="17">
        <f t="shared" ref="I29:I35" si="2">D29*0.19</f>
        <v>9183.0172999999995</v>
      </c>
      <c r="J29" s="17">
        <v>0</v>
      </c>
      <c r="K29" s="17">
        <f t="shared" ref="K29:K36" si="3">D29+F29+I29</f>
        <v>57514.687299999998</v>
      </c>
      <c r="L29" s="18"/>
    </row>
    <row r="30" spans="2:12" ht="15.75" x14ac:dyDescent="0.2">
      <c r="B30" s="19" t="s">
        <v>25</v>
      </c>
      <c r="C30" s="16" t="s">
        <v>26</v>
      </c>
      <c r="D30" s="17">
        <v>0</v>
      </c>
      <c r="E30" s="17"/>
      <c r="F30" s="17">
        <v>0</v>
      </c>
      <c r="G30" s="17">
        <v>0</v>
      </c>
      <c r="H30" s="17">
        <v>0</v>
      </c>
      <c r="I30" s="17">
        <f t="shared" si="2"/>
        <v>0</v>
      </c>
      <c r="J30" s="17">
        <v>0</v>
      </c>
      <c r="K30" s="17">
        <f t="shared" si="3"/>
        <v>0</v>
      </c>
      <c r="L30" s="18"/>
    </row>
    <row r="31" spans="2:12" ht="15.75" x14ac:dyDescent="0.2">
      <c r="B31" s="19" t="s">
        <v>27</v>
      </c>
      <c r="C31" s="16" t="s">
        <v>28</v>
      </c>
      <c r="D31" s="17">
        <v>0</v>
      </c>
      <c r="E31" s="17"/>
      <c r="F31" s="17">
        <v>0</v>
      </c>
      <c r="G31" s="17">
        <v>0</v>
      </c>
      <c r="H31" s="17">
        <v>0</v>
      </c>
      <c r="I31" s="17">
        <f t="shared" si="2"/>
        <v>0</v>
      </c>
      <c r="J31" s="17">
        <v>0</v>
      </c>
      <c r="K31" s="17">
        <f t="shared" si="3"/>
        <v>0</v>
      </c>
      <c r="L31" s="18"/>
    </row>
    <row r="32" spans="2:12" ht="31.5" x14ac:dyDescent="0.2">
      <c r="B32" s="19" t="s">
        <v>29</v>
      </c>
      <c r="C32" s="16" t="s">
        <v>30</v>
      </c>
      <c r="D32" s="17">
        <v>5000</v>
      </c>
      <c r="E32" s="17"/>
      <c r="F32" s="17">
        <v>0</v>
      </c>
      <c r="G32" s="17">
        <v>0</v>
      </c>
      <c r="H32" s="17">
        <v>5000</v>
      </c>
      <c r="I32" s="17">
        <f t="shared" si="2"/>
        <v>950</v>
      </c>
      <c r="J32" s="17">
        <v>0</v>
      </c>
      <c r="K32" s="17">
        <f t="shared" si="3"/>
        <v>5950</v>
      </c>
      <c r="L32" s="18"/>
    </row>
    <row r="33" spans="2:12" ht="31.5" x14ac:dyDescent="0.2">
      <c r="B33" s="19" t="s">
        <v>31</v>
      </c>
      <c r="C33" s="16" t="s">
        <v>32</v>
      </c>
      <c r="D33" s="53">
        <v>166.67</v>
      </c>
      <c r="E33" s="53"/>
      <c r="F33" s="53">
        <v>0</v>
      </c>
      <c r="G33" s="53"/>
      <c r="H33" s="53">
        <v>1500</v>
      </c>
      <c r="I33" s="53">
        <f t="shared" si="2"/>
        <v>31.667299999999997</v>
      </c>
      <c r="J33" s="53">
        <v>0</v>
      </c>
      <c r="K33" s="53">
        <f t="shared" si="3"/>
        <v>198.33729999999997</v>
      </c>
      <c r="L33" s="54"/>
    </row>
    <row r="34" spans="2:12" ht="31.5" x14ac:dyDescent="0.2">
      <c r="B34" s="19" t="s">
        <v>33</v>
      </c>
      <c r="C34" s="16" t="s">
        <v>34</v>
      </c>
      <c r="D34" s="17">
        <v>5500.83</v>
      </c>
      <c r="E34" s="17"/>
      <c r="F34" s="17">
        <v>0</v>
      </c>
      <c r="G34" s="17"/>
      <c r="H34" s="17">
        <v>5500</v>
      </c>
      <c r="I34" s="17">
        <f t="shared" si="2"/>
        <v>1045.1577</v>
      </c>
      <c r="J34" s="17">
        <v>0</v>
      </c>
      <c r="K34" s="17">
        <f t="shared" si="3"/>
        <v>6545.9876999999997</v>
      </c>
      <c r="L34" s="18"/>
    </row>
    <row r="35" spans="2:12" ht="15.75" x14ac:dyDescent="0.2">
      <c r="B35" s="19" t="s">
        <v>35</v>
      </c>
      <c r="C35" s="16" t="s">
        <v>36</v>
      </c>
      <c r="D35" s="17">
        <v>37664.17</v>
      </c>
      <c r="E35" s="17"/>
      <c r="F35" s="17">
        <v>0</v>
      </c>
      <c r="G35" s="17"/>
      <c r="H35" s="17">
        <v>36164.17</v>
      </c>
      <c r="I35" s="17">
        <f t="shared" si="2"/>
        <v>7156.1922999999997</v>
      </c>
      <c r="J35" s="17">
        <v>0</v>
      </c>
      <c r="K35" s="17">
        <f t="shared" si="3"/>
        <v>44820.362300000001</v>
      </c>
      <c r="L35" s="18"/>
    </row>
    <row r="36" spans="2:12" ht="15.75" x14ac:dyDescent="0.2">
      <c r="B36" s="15">
        <v>3.6</v>
      </c>
      <c r="C36" s="16" t="s">
        <v>37</v>
      </c>
      <c r="D36" s="17">
        <v>0</v>
      </c>
      <c r="E36" s="17"/>
      <c r="F36" s="17">
        <v>5833.33</v>
      </c>
      <c r="G36" s="17"/>
      <c r="H36" s="17">
        <v>6000</v>
      </c>
      <c r="I36" s="17">
        <f>(D36+F36)*0.19</f>
        <v>1108.3326999999999</v>
      </c>
      <c r="J36" s="17">
        <v>0</v>
      </c>
      <c r="K36" s="17">
        <f t="shared" si="3"/>
        <v>6941.6626999999999</v>
      </c>
      <c r="L36" s="18"/>
    </row>
    <row r="37" spans="2:12" ht="15.75" x14ac:dyDescent="0.2">
      <c r="B37" s="15">
        <v>3.7</v>
      </c>
      <c r="C37" s="16" t="s">
        <v>38</v>
      </c>
      <c r="D37" s="17">
        <v>0</v>
      </c>
      <c r="E37" s="17"/>
      <c r="F37" s="17">
        <v>5000</v>
      </c>
      <c r="G37" s="17"/>
      <c r="H37" s="17">
        <v>5000</v>
      </c>
      <c r="I37" s="17">
        <v>0</v>
      </c>
      <c r="J37" s="17">
        <f>F37*0.21</f>
        <v>1050</v>
      </c>
      <c r="K37" s="17">
        <f>D37+F37+I37+J37</f>
        <v>6050</v>
      </c>
      <c r="L37" s="18"/>
    </row>
    <row r="38" spans="2:12" ht="31.5" x14ac:dyDescent="0.2">
      <c r="B38" s="19" t="s">
        <v>39</v>
      </c>
      <c r="C38" s="16" t="s">
        <v>40</v>
      </c>
      <c r="D38" s="17">
        <v>0</v>
      </c>
      <c r="E38" s="17"/>
      <c r="F38" s="17">
        <v>4000</v>
      </c>
      <c r="G38" s="17"/>
      <c r="H38" s="17">
        <v>4000</v>
      </c>
      <c r="I38" s="17">
        <v>0</v>
      </c>
      <c r="J38" s="17">
        <f>F38*0.21</f>
        <v>840</v>
      </c>
      <c r="K38" s="17">
        <f>D38+F38+I38+J38</f>
        <v>4840</v>
      </c>
      <c r="L38" s="18"/>
    </row>
    <row r="39" spans="2:12" ht="15.75" x14ac:dyDescent="0.2">
      <c r="B39" s="19" t="s">
        <v>41</v>
      </c>
      <c r="C39" s="16" t="s">
        <v>42</v>
      </c>
      <c r="D39" s="17">
        <v>0</v>
      </c>
      <c r="E39" s="17"/>
      <c r="F39" s="17">
        <v>1000</v>
      </c>
      <c r="G39" s="17"/>
      <c r="H39" s="17">
        <v>1000</v>
      </c>
      <c r="I39" s="17">
        <v>0</v>
      </c>
      <c r="J39" s="17">
        <f>F39*0.21</f>
        <v>210</v>
      </c>
      <c r="K39" s="17">
        <f>D39+F39+I39+J39</f>
        <v>1210</v>
      </c>
      <c r="L39" s="18"/>
    </row>
    <row r="40" spans="2:12" ht="15.75" x14ac:dyDescent="0.2">
      <c r="B40" s="15">
        <v>3.8</v>
      </c>
      <c r="C40" s="16" t="s">
        <v>43</v>
      </c>
      <c r="D40" s="17">
        <f>D41+D44+D45</f>
        <v>24341.679999999997</v>
      </c>
      <c r="E40" s="17"/>
      <c r="F40" s="17">
        <v>0</v>
      </c>
      <c r="G40" s="17"/>
      <c r="H40" s="17">
        <v>27566.67</v>
      </c>
      <c r="I40" s="17">
        <v>0</v>
      </c>
      <c r="J40" s="17">
        <f>D40*0.21</f>
        <v>5111.7527999999993</v>
      </c>
      <c r="K40" s="17">
        <f>D40+F40+I40+J40</f>
        <v>29453.432799999995</v>
      </c>
      <c r="L40" s="18"/>
    </row>
    <row r="41" spans="2:12" ht="15.75" x14ac:dyDescent="0.2">
      <c r="B41" s="19" t="s">
        <v>44</v>
      </c>
      <c r="C41" s="16" t="s">
        <v>45</v>
      </c>
      <c r="D41" s="17">
        <v>1666.67</v>
      </c>
      <c r="E41" s="17"/>
      <c r="F41" s="17">
        <v>0</v>
      </c>
      <c r="G41" s="17"/>
      <c r="H41" s="17">
        <v>1666.67</v>
      </c>
      <c r="I41" s="17">
        <v>0</v>
      </c>
      <c r="J41" s="17">
        <f t="shared" ref="J41:J45" si="4">D41*0.21</f>
        <v>350.00069999999999</v>
      </c>
      <c r="K41" s="17">
        <f t="shared" ref="K41:K43" si="5">D41+F41+I41+J41</f>
        <v>2016.6707000000001</v>
      </c>
      <c r="L41" s="18"/>
    </row>
    <row r="42" spans="2:12" ht="15.75" x14ac:dyDescent="0.2">
      <c r="B42" s="19" t="s">
        <v>46</v>
      </c>
      <c r="C42" s="16" t="s">
        <v>47</v>
      </c>
      <c r="D42" s="17">
        <v>1000</v>
      </c>
      <c r="E42" s="17"/>
      <c r="F42" s="17">
        <v>0</v>
      </c>
      <c r="G42" s="17"/>
      <c r="H42" s="17">
        <v>1000</v>
      </c>
      <c r="I42" s="17">
        <v>0</v>
      </c>
      <c r="J42" s="17">
        <f t="shared" si="4"/>
        <v>210</v>
      </c>
      <c r="K42" s="17">
        <f t="shared" si="5"/>
        <v>1210</v>
      </c>
      <c r="L42" s="18"/>
    </row>
    <row r="43" spans="2:12" ht="47.25" x14ac:dyDescent="0.2">
      <c r="B43" s="19" t="s">
        <v>48</v>
      </c>
      <c r="C43" s="16" t="s">
        <v>49</v>
      </c>
      <c r="D43" s="17">
        <v>666.67</v>
      </c>
      <c r="E43" s="17"/>
      <c r="F43" s="17">
        <v>0</v>
      </c>
      <c r="G43" s="17"/>
      <c r="H43" s="17">
        <v>666.67</v>
      </c>
      <c r="I43" s="17">
        <v>0</v>
      </c>
      <c r="J43" s="17">
        <f t="shared" si="4"/>
        <v>140.00069999999999</v>
      </c>
      <c r="K43" s="17">
        <f t="shared" si="5"/>
        <v>806.6706999999999</v>
      </c>
      <c r="L43" s="18"/>
    </row>
    <row r="44" spans="2:12" ht="15.75" x14ac:dyDescent="0.2">
      <c r="B44" s="19" t="s">
        <v>50</v>
      </c>
      <c r="C44" s="16" t="s">
        <v>51</v>
      </c>
      <c r="D44" s="17">
        <v>20416.669999999998</v>
      </c>
      <c r="E44" s="17"/>
      <c r="F44" s="17">
        <v>0</v>
      </c>
      <c r="G44" s="17"/>
      <c r="H44" s="17">
        <v>21500</v>
      </c>
      <c r="I44" s="17">
        <v>0</v>
      </c>
      <c r="J44" s="17">
        <f t="shared" si="4"/>
        <v>4287.5006999999996</v>
      </c>
      <c r="K44" s="17">
        <f>D44+F44+I44+J44</f>
        <v>24704.170699999999</v>
      </c>
      <c r="L44" s="18"/>
    </row>
    <row r="45" spans="2:12" ht="47.25" x14ac:dyDescent="0.2">
      <c r="B45" s="25" t="s">
        <v>52</v>
      </c>
      <c r="C45" s="21" t="s">
        <v>53</v>
      </c>
      <c r="D45" s="22">
        <v>2258.34</v>
      </c>
      <c r="E45" s="22"/>
      <c r="F45" s="22">
        <v>0</v>
      </c>
      <c r="G45" s="22"/>
      <c r="H45" s="23">
        <v>4400</v>
      </c>
      <c r="I45" s="17">
        <v>0</v>
      </c>
      <c r="J45" s="17">
        <f t="shared" si="4"/>
        <v>474.25139999999999</v>
      </c>
      <c r="K45" s="17">
        <f>D45+F45+I45+J45</f>
        <v>2732.5914000000002</v>
      </c>
      <c r="L45" s="24"/>
    </row>
    <row r="46" spans="2:12" ht="15.75" x14ac:dyDescent="0.2">
      <c r="B46" s="167" t="s">
        <v>54</v>
      </c>
      <c r="C46" s="168"/>
      <c r="D46" s="26">
        <f>D20+D24+D25+D26+D29+D36+D37+D40</f>
        <v>80423.356666666659</v>
      </c>
      <c r="E46" s="26"/>
      <c r="F46" s="26">
        <f>F20+F24+F25+F26+F29+F36+F37+F40</f>
        <v>10833.33</v>
      </c>
      <c r="G46" s="26"/>
      <c r="H46" s="26">
        <f>H20+H24+H25+H26+H29+H36+H37+H40</f>
        <v>91814.18</v>
      </c>
      <c r="I46" s="26">
        <f>I36+I29+I27+I25+I20+I24</f>
        <v>11003.851266666663</v>
      </c>
      <c r="J46" s="26">
        <f>J40+J37+J28</f>
        <v>7001.7527999999993</v>
      </c>
      <c r="K46" s="26">
        <f>D46+F46+I46+J46</f>
        <v>109262.29073333333</v>
      </c>
      <c r="L46" s="27"/>
    </row>
    <row r="47" spans="2:12" ht="15.75" x14ac:dyDescent="0.2">
      <c r="B47" s="164" t="s">
        <v>103</v>
      </c>
      <c r="C47" s="165"/>
      <c r="D47" s="165"/>
      <c r="E47" s="165"/>
      <c r="F47" s="165"/>
      <c r="G47" s="165"/>
      <c r="H47" s="165"/>
      <c r="I47" s="165"/>
      <c r="J47" s="165"/>
      <c r="K47" s="165"/>
      <c r="L47" s="166"/>
    </row>
    <row r="48" spans="2:12" s="98" customFormat="1" ht="15.75" x14ac:dyDescent="0.2">
      <c r="B48" s="99">
        <v>4.0999999999999996</v>
      </c>
      <c r="C48" s="50" t="s">
        <v>55</v>
      </c>
      <c r="D48" s="100">
        <f>D49+D50+D51+D52</f>
        <v>2396799.7800000003</v>
      </c>
      <c r="E48" s="100"/>
      <c r="F48" s="101">
        <v>0</v>
      </c>
      <c r="G48" s="101"/>
      <c r="H48" s="101">
        <v>2406860.88</v>
      </c>
      <c r="I48" s="101">
        <v>0</v>
      </c>
      <c r="J48" s="101">
        <f>D48*0.21</f>
        <v>503327.95380000002</v>
      </c>
      <c r="K48" s="100">
        <f>D48+F48+I48+J48</f>
        <v>2900127.7338000005</v>
      </c>
      <c r="L48" s="102"/>
    </row>
    <row r="49" spans="2:16" s="98" customFormat="1" ht="15.75" x14ac:dyDescent="0.2">
      <c r="B49" s="103" t="s">
        <v>56</v>
      </c>
      <c r="C49" s="104" t="s">
        <v>57</v>
      </c>
      <c r="D49" s="105">
        <f>2120627.65+118743.62</f>
        <v>2239371.27</v>
      </c>
      <c r="E49" s="105"/>
      <c r="F49" s="101">
        <v>0</v>
      </c>
      <c r="G49" s="106"/>
      <c r="H49" s="106">
        <v>2403510.35</v>
      </c>
      <c r="I49" s="101">
        <v>0</v>
      </c>
      <c r="J49" s="101">
        <f t="shared" ref="J49:J60" si="6">D49*0.21</f>
        <v>470267.96669999999</v>
      </c>
      <c r="K49" s="100">
        <f t="shared" ref="K49:K60" si="7">D49+F49+I49+J49</f>
        <v>2709639.2367000002</v>
      </c>
      <c r="L49" s="107"/>
    </row>
    <row r="50" spans="2:16" ht="15.75" x14ac:dyDescent="0.2">
      <c r="B50" s="28" t="s">
        <v>58</v>
      </c>
      <c r="C50" s="29" t="s">
        <v>61</v>
      </c>
      <c r="D50" s="30">
        <f>4195.13+77.95</f>
        <v>4273.08</v>
      </c>
      <c r="E50" s="30"/>
      <c r="F50" s="17">
        <v>0</v>
      </c>
      <c r="G50" s="30"/>
      <c r="H50" s="30">
        <v>2929.96</v>
      </c>
      <c r="I50" s="17">
        <v>0</v>
      </c>
      <c r="J50" s="101">
        <f t="shared" si="6"/>
        <v>897.34679999999992</v>
      </c>
      <c r="K50" s="100">
        <f t="shared" si="7"/>
        <v>5170.4268000000002</v>
      </c>
      <c r="L50" s="32"/>
    </row>
    <row r="51" spans="2:16" s="98" customFormat="1" ht="15.75" x14ac:dyDescent="0.2">
      <c r="B51" s="103" t="s">
        <v>60</v>
      </c>
      <c r="C51" s="104" t="s">
        <v>59</v>
      </c>
      <c r="D51" s="105">
        <f>1260.53+51.97</f>
        <v>1312.5</v>
      </c>
      <c r="E51" s="106"/>
      <c r="F51" s="101">
        <v>0</v>
      </c>
      <c r="G51" s="106"/>
      <c r="H51" s="106">
        <v>420.57</v>
      </c>
      <c r="I51" s="101">
        <v>0</v>
      </c>
      <c r="J51" s="101">
        <f t="shared" si="6"/>
        <v>275.625</v>
      </c>
      <c r="K51" s="100">
        <f t="shared" si="7"/>
        <v>1588.125</v>
      </c>
      <c r="L51" s="108"/>
    </row>
    <row r="52" spans="2:16" ht="15.75" x14ac:dyDescent="0.2">
      <c r="B52" s="28" t="s">
        <v>99</v>
      </c>
      <c r="C52" s="29" t="s">
        <v>64</v>
      </c>
      <c r="D52" s="105">
        <f>140800.01+11042.92</f>
        <v>151842.93000000002</v>
      </c>
      <c r="E52" s="30"/>
      <c r="F52" s="17">
        <v>0</v>
      </c>
      <c r="G52" s="30"/>
      <c r="H52" s="30">
        <v>0</v>
      </c>
      <c r="I52" s="17">
        <v>0</v>
      </c>
      <c r="J52" s="101">
        <f t="shared" si="6"/>
        <v>31887.015300000003</v>
      </c>
      <c r="K52" s="100">
        <f t="shared" si="7"/>
        <v>183729.94530000002</v>
      </c>
      <c r="L52" s="32"/>
    </row>
    <row r="53" spans="2:16" s="98" customFormat="1" ht="31.5" x14ac:dyDescent="0.2">
      <c r="B53" s="99">
        <v>4.2</v>
      </c>
      <c r="C53" s="50" t="s">
        <v>62</v>
      </c>
      <c r="D53" s="100">
        <f>D54</f>
        <v>41412.1</v>
      </c>
      <c r="E53" s="100"/>
      <c r="F53" s="101">
        <v>0</v>
      </c>
      <c r="G53" s="101"/>
      <c r="H53" s="101">
        <v>241989.85</v>
      </c>
      <c r="I53" s="101">
        <v>0</v>
      </c>
      <c r="J53" s="101">
        <f t="shared" si="6"/>
        <v>8696.5409999999993</v>
      </c>
      <c r="K53" s="100">
        <f t="shared" si="7"/>
        <v>50108.640999999996</v>
      </c>
      <c r="L53" s="102"/>
    </row>
    <row r="54" spans="2:16" ht="15.75" x14ac:dyDescent="0.2">
      <c r="B54" s="28" t="s">
        <v>63</v>
      </c>
      <c r="C54" s="29" t="s">
        <v>61</v>
      </c>
      <c r="D54" s="33">
        <v>41412.1</v>
      </c>
      <c r="E54" s="33"/>
      <c r="F54" s="17">
        <v>0</v>
      </c>
      <c r="G54" s="30"/>
      <c r="H54" s="30">
        <v>37507.370000000003</v>
      </c>
      <c r="I54" s="17">
        <v>0</v>
      </c>
      <c r="J54" s="101">
        <f t="shared" si="6"/>
        <v>8696.5409999999993</v>
      </c>
      <c r="K54" s="100">
        <f t="shared" si="7"/>
        <v>50108.640999999996</v>
      </c>
      <c r="L54" s="34"/>
    </row>
    <row r="55" spans="2:16" ht="31.5" x14ac:dyDescent="0.2">
      <c r="B55" s="15">
        <v>4.3</v>
      </c>
      <c r="C55" s="16" t="s">
        <v>66</v>
      </c>
      <c r="D55" s="31">
        <f>D56</f>
        <v>16000</v>
      </c>
      <c r="E55" s="31"/>
      <c r="F55" s="17">
        <v>0</v>
      </c>
      <c r="G55" s="17"/>
      <c r="H55" s="17">
        <v>75000</v>
      </c>
      <c r="I55" s="17">
        <v>0</v>
      </c>
      <c r="J55" s="101">
        <f t="shared" si="6"/>
        <v>3360</v>
      </c>
      <c r="K55" s="100">
        <f t="shared" si="7"/>
        <v>19360</v>
      </c>
      <c r="L55" s="35"/>
    </row>
    <row r="56" spans="2:16" ht="15.75" x14ac:dyDescent="0.2">
      <c r="B56" s="28" t="s">
        <v>67</v>
      </c>
      <c r="C56" s="29" t="s">
        <v>61</v>
      </c>
      <c r="D56" s="33">
        <v>16000</v>
      </c>
      <c r="E56" s="33"/>
      <c r="F56" s="17">
        <v>0</v>
      </c>
      <c r="G56" s="30"/>
      <c r="H56" s="30">
        <v>75000</v>
      </c>
      <c r="I56" s="17">
        <v>0</v>
      </c>
      <c r="J56" s="101">
        <f t="shared" si="6"/>
        <v>3360</v>
      </c>
      <c r="K56" s="100">
        <f t="shared" si="7"/>
        <v>19360</v>
      </c>
      <c r="L56" s="34"/>
    </row>
    <row r="57" spans="2:16" ht="47.25" x14ac:dyDescent="0.2">
      <c r="B57" s="15">
        <v>4.4000000000000004</v>
      </c>
      <c r="C57" s="16" t="s">
        <v>68</v>
      </c>
      <c r="D57" s="17">
        <v>0</v>
      </c>
      <c r="E57" s="17"/>
      <c r="F57" s="17">
        <v>0</v>
      </c>
      <c r="G57" s="17"/>
      <c r="H57" s="17">
        <v>0</v>
      </c>
      <c r="I57" s="17">
        <v>0</v>
      </c>
      <c r="J57" s="101">
        <f t="shared" si="6"/>
        <v>0</v>
      </c>
      <c r="K57" s="100">
        <f t="shared" si="7"/>
        <v>0</v>
      </c>
      <c r="L57" s="18"/>
      <c r="P57" s="155"/>
    </row>
    <row r="58" spans="2:16" ht="15.75" x14ac:dyDescent="0.2">
      <c r="B58" s="15">
        <v>4.5</v>
      </c>
      <c r="C58" s="16" t="s">
        <v>69</v>
      </c>
      <c r="D58" s="17">
        <v>0</v>
      </c>
      <c r="E58" s="17"/>
      <c r="F58" s="17">
        <v>0</v>
      </c>
      <c r="G58" s="17"/>
      <c r="H58" s="17">
        <v>0</v>
      </c>
      <c r="I58" s="17">
        <v>0</v>
      </c>
      <c r="J58" s="101">
        <f t="shared" si="6"/>
        <v>0</v>
      </c>
      <c r="K58" s="100">
        <f t="shared" si="7"/>
        <v>0</v>
      </c>
      <c r="L58" s="18"/>
    </row>
    <row r="59" spans="2:16" ht="15.75" x14ac:dyDescent="0.2">
      <c r="B59" s="15">
        <v>4.5999999999999996</v>
      </c>
      <c r="C59" s="16" t="s">
        <v>70</v>
      </c>
      <c r="D59" s="17">
        <v>0</v>
      </c>
      <c r="E59" s="17"/>
      <c r="F59" s="17">
        <v>0</v>
      </c>
      <c r="G59" s="17"/>
      <c r="H59" s="17">
        <v>0</v>
      </c>
      <c r="I59" s="17">
        <f t="shared" ref="I59" si="8">D59*0.19</f>
        <v>0</v>
      </c>
      <c r="J59" s="101">
        <f t="shared" si="6"/>
        <v>0</v>
      </c>
      <c r="K59" s="100">
        <f t="shared" si="7"/>
        <v>0</v>
      </c>
      <c r="L59" s="18"/>
    </row>
    <row r="60" spans="2:16" s="127" customFormat="1" ht="15.75" x14ac:dyDescent="0.2">
      <c r="B60" s="171" t="s">
        <v>71</v>
      </c>
      <c r="C60" s="172"/>
      <c r="D60" s="152">
        <f>D48+D53+D55+D57+D58+D59</f>
        <v>2454211.8800000004</v>
      </c>
      <c r="E60" s="109"/>
      <c r="F60" s="110">
        <v>0</v>
      </c>
      <c r="G60" s="110"/>
      <c r="H60" s="110">
        <f>H48+H53+H55+H57+H58+H59</f>
        <v>2723850.73</v>
      </c>
      <c r="I60" s="110">
        <v>0</v>
      </c>
      <c r="J60" s="110">
        <f t="shared" si="6"/>
        <v>515384.49480000004</v>
      </c>
      <c r="K60" s="109">
        <f t="shared" si="7"/>
        <v>2969596.3748000003</v>
      </c>
      <c r="L60" s="111"/>
    </row>
    <row r="61" spans="2:16" ht="15.75" x14ac:dyDescent="0.2">
      <c r="B61" s="164" t="s">
        <v>104</v>
      </c>
      <c r="C61" s="165"/>
      <c r="D61" s="165"/>
      <c r="E61" s="165"/>
      <c r="F61" s="165"/>
      <c r="G61" s="165"/>
      <c r="H61" s="165"/>
      <c r="I61" s="165"/>
      <c r="J61" s="165"/>
      <c r="K61" s="165"/>
      <c r="L61" s="166"/>
    </row>
    <row r="62" spans="2:16" ht="15.75" x14ac:dyDescent="0.2">
      <c r="B62" s="15">
        <v>5.0999999999999996</v>
      </c>
      <c r="C62" s="16" t="s">
        <v>72</v>
      </c>
      <c r="D62" s="31">
        <v>0</v>
      </c>
      <c r="E62" s="31"/>
      <c r="F62" s="17">
        <v>0</v>
      </c>
      <c r="G62" s="17"/>
      <c r="H62" s="17">
        <v>60000</v>
      </c>
      <c r="I62" s="17">
        <f>D62*0.21</f>
        <v>0</v>
      </c>
      <c r="J62" s="17">
        <v>0</v>
      </c>
      <c r="K62" s="31">
        <f t="shared" ref="K62:K73" si="9">D62+F62+I62</f>
        <v>0</v>
      </c>
      <c r="L62" s="35"/>
    </row>
    <row r="63" spans="2:16" ht="31.5" x14ac:dyDescent="0.2">
      <c r="B63" s="19" t="s">
        <v>73</v>
      </c>
      <c r="C63" s="16" t="s">
        <v>74</v>
      </c>
      <c r="D63" s="31">
        <v>0</v>
      </c>
      <c r="E63" s="31"/>
      <c r="F63" s="17">
        <v>0</v>
      </c>
      <c r="G63" s="17"/>
      <c r="H63" s="17">
        <v>50000</v>
      </c>
      <c r="I63" s="17">
        <f>D63*0.21</f>
        <v>0</v>
      </c>
      <c r="J63" s="17">
        <v>0</v>
      </c>
      <c r="K63" s="31">
        <f t="shared" si="9"/>
        <v>0</v>
      </c>
      <c r="L63" s="35"/>
    </row>
    <row r="64" spans="2:16" ht="15.75" x14ac:dyDescent="0.2">
      <c r="B64" s="25" t="s">
        <v>75</v>
      </c>
      <c r="C64" s="21" t="s">
        <v>76</v>
      </c>
      <c r="D64" s="36">
        <v>0</v>
      </c>
      <c r="E64" s="36"/>
      <c r="F64" s="17">
        <v>0</v>
      </c>
      <c r="G64" s="22"/>
      <c r="H64" s="23">
        <v>10000</v>
      </c>
      <c r="I64" s="17">
        <f>D64*0.21</f>
        <v>0</v>
      </c>
      <c r="J64" s="17">
        <v>0</v>
      </c>
      <c r="K64" s="31">
        <f t="shared" si="9"/>
        <v>0</v>
      </c>
      <c r="L64" s="37"/>
    </row>
    <row r="65" spans="1:13" ht="15.75" x14ac:dyDescent="0.2">
      <c r="A65" s="98"/>
      <c r="B65" s="99">
        <v>5.2</v>
      </c>
      <c r="C65" s="50" t="s">
        <v>77</v>
      </c>
      <c r="D65" s="100">
        <f>D66+D67+D68+D69+D70</f>
        <v>26820.330680000006</v>
      </c>
      <c r="E65" s="100"/>
      <c r="F65" s="101">
        <v>0</v>
      </c>
      <c r="G65" s="101"/>
      <c r="H65" s="101">
        <v>26977.06</v>
      </c>
      <c r="I65" s="101">
        <f>I66+I67+I68+I69+I70</f>
        <v>0</v>
      </c>
      <c r="J65" s="101">
        <v>0</v>
      </c>
      <c r="K65" s="100">
        <f t="shared" si="9"/>
        <v>26820.330680000006</v>
      </c>
      <c r="L65" s="102"/>
      <c r="M65" s="98"/>
    </row>
    <row r="66" spans="1:13" ht="31.5" x14ac:dyDescent="0.2">
      <c r="A66" s="98"/>
      <c r="B66" s="113" t="s">
        <v>78</v>
      </c>
      <c r="C66" s="50" t="s">
        <v>79</v>
      </c>
      <c r="D66" s="101">
        <v>0</v>
      </c>
      <c r="E66" s="101"/>
      <c r="F66" s="101">
        <v>0</v>
      </c>
      <c r="G66" s="101"/>
      <c r="H66" s="101">
        <v>0</v>
      </c>
      <c r="I66" s="101">
        <f>D66*0.21</f>
        <v>0</v>
      </c>
      <c r="J66" s="101">
        <v>0</v>
      </c>
      <c r="K66" s="100">
        <f t="shared" si="9"/>
        <v>0</v>
      </c>
      <c r="L66" s="112"/>
      <c r="M66" s="98"/>
    </row>
    <row r="67" spans="1:13" ht="31.5" x14ac:dyDescent="0.2">
      <c r="A67" s="98"/>
      <c r="B67" s="113" t="s">
        <v>80</v>
      </c>
      <c r="C67" s="50" t="s">
        <v>81</v>
      </c>
      <c r="D67" s="100">
        <f>D85*0.005</f>
        <v>12191.059400000002</v>
      </c>
      <c r="E67" s="100"/>
      <c r="F67" s="101">
        <v>0</v>
      </c>
      <c r="G67" s="101"/>
      <c r="H67" s="101">
        <v>12262.3</v>
      </c>
      <c r="I67" s="101">
        <v>0</v>
      </c>
      <c r="J67" s="101">
        <v>0</v>
      </c>
      <c r="K67" s="100">
        <f t="shared" si="9"/>
        <v>12191.059400000002</v>
      </c>
      <c r="L67" s="102"/>
      <c r="M67" s="98"/>
    </row>
    <row r="68" spans="1:13" ht="47.25" x14ac:dyDescent="0.2">
      <c r="A68" s="98"/>
      <c r="B68" s="113" t="s">
        <v>82</v>
      </c>
      <c r="C68" s="50" t="s">
        <v>83</v>
      </c>
      <c r="D68" s="100">
        <f>D85*0.001</f>
        <v>2438.2118800000003</v>
      </c>
      <c r="E68" s="101"/>
      <c r="F68" s="101">
        <v>0</v>
      </c>
      <c r="G68" s="101"/>
      <c r="H68" s="101">
        <v>2452.46</v>
      </c>
      <c r="I68" s="101">
        <v>0</v>
      </c>
      <c r="J68" s="101">
        <v>0</v>
      </c>
      <c r="K68" s="100">
        <f t="shared" si="9"/>
        <v>2438.2118800000003</v>
      </c>
      <c r="L68" s="112"/>
      <c r="M68" s="98"/>
    </row>
    <row r="69" spans="1:13" ht="31.5" x14ac:dyDescent="0.2">
      <c r="A69" s="98"/>
      <c r="B69" s="113" t="s">
        <v>84</v>
      </c>
      <c r="C69" s="50" t="s">
        <v>85</v>
      </c>
      <c r="D69" s="100">
        <f>D85*0.005</f>
        <v>12191.059400000002</v>
      </c>
      <c r="E69" s="100"/>
      <c r="F69" s="101">
        <v>0</v>
      </c>
      <c r="G69" s="101"/>
      <c r="H69" s="101">
        <v>12262.3</v>
      </c>
      <c r="I69" s="101">
        <v>0</v>
      </c>
      <c r="J69" s="101">
        <v>0</v>
      </c>
      <c r="K69" s="100">
        <f t="shared" si="9"/>
        <v>12191.059400000002</v>
      </c>
      <c r="L69" s="102"/>
      <c r="M69" s="98"/>
    </row>
    <row r="70" spans="1:13" ht="31.5" x14ac:dyDescent="0.2">
      <c r="A70" s="98"/>
      <c r="B70" s="113" t="s">
        <v>86</v>
      </c>
      <c r="C70" s="50" t="s">
        <v>87</v>
      </c>
      <c r="D70" s="101">
        <v>0</v>
      </c>
      <c r="E70" s="101"/>
      <c r="F70" s="101">
        <v>0</v>
      </c>
      <c r="G70" s="101"/>
      <c r="H70" s="101">
        <v>0</v>
      </c>
      <c r="I70" s="101">
        <f>D70*0.21</f>
        <v>0</v>
      </c>
      <c r="J70" s="101">
        <v>0</v>
      </c>
      <c r="K70" s="100">
        <f t="shared" si="9"/>
        <v>0</v>
      </c>
      <c r="L70" s="112"/>
      <c r="M70" s="98"/>
    </row>
    <row r="71" spans="1:13" ht="15.75" x14ac:dyDescent="0.2">
      <c r="A71" s="98"/>
      <c r="B71" s="99">
        <v>5.3</v>
      </c>
      <c r="C71" s="50" t="s">
        <v>88</v>
      </c>
      <c r="D71" s="100">
        <v>301798.12</v>
      </c>
      <c r="E71" s="100"/>
      <c r="F71" s="101">
        <v>0</v>
      </c>
      <c r="G71" s="101"/>
      <c r="H71" s="101">
        <v>242302.81</v>
      </c>
      <c r="I71" s="101">
        <v>0</v>
      </c>
      <c r="J71" s="101">
        <f>D71*0.21</f>
        <v>63377.605199999998</v>
      </c>
      <c r="K71" s="100">
        <f>D71+F71+I71+J71</f>
        <v>365175.72519999999</v>
      </c>
      <c r="L71" s="102"/>
      <c r="M71" s="98"/>
    </row>
    <row r="72" spans="1:13" ht="15.75" x14ac:dyDescent="0.2">
      <c r="A72" s="98"/>
      <c r="B72" s="99">
        <v>5.4</v>
      </c>
      <c r="C72" s="50" t="s">
        <v>89</v>
      </c>
      <c r="D72" s="100">
        <v>2000</v>
      </c>
      <c r="E72" s="101"/>
      <c r="F72" s="101">
        <v>0</v>
      </c>
      <c r="G72" s="101"/>
      <c r="H72" s="101">
        <v>2000</v>
      </c>
      <c r="I72" s="101">
        <f>I73+J74</f>
        <v>416.47899999999998</v>
      </c>
      <c r="J72" s="101">
        <v>0</v>
      </c>
      <c r="K72" s="100">
        <f t="shared" si="9"/>
        <v>2416.4789999999998</v>
      </c>
      <c r="L72" s="112"/>
      <c r="M72" s="98"/>
    </row>
    <row r="73" spans="1:13" ht="31.5" x14ac:dyDescent="0.2">
      <c r="A73" s="98"/>
      <c r="B73" s="153" t="s">
        <v>115</v>
      </c>
      <c r="C73" s="50" t="s">
        <v>117</v>
      </c>
      <c r="D73" s="100">
        <v>176.05</v>
      </c>
      <c r="E73" s="101"/>
      <c r="F73" s="101">
        <v>0</v>
      </c>
      <c r="G73" s="101"/>
      <c r="H73" s="101"/>
      <c r="I73" s="101">
        <f>D73*0.19</f>
        <v>33.4495</v>
      </c>
      <c r="J73" s="101">
        <v>0</v>
      </c>
      <c r="K73" s="100">
        <f t="shared" si="9"/>
        <v>209.49950000000001</v>
      </c>
      <c r="L73" s="112"/>
      <c r="M73" s="98"/>
    </row>
    <row r="74" spans="1:13" ht="31.5" x14ac:dyDescent="0.2">
      <c r="A74" s="98"/>
      <c r="B74" s="153" t="s">
        <v>116</v>
      </c>
      <c r="C74" s="50" t="s">
        <v>121</v>
      </c>
      <c r="D74" s="100">
        <v>1823.95</v>
      </c>
      <c r="E74" s="101"/>
      <c r="F74" s="101">
        <v>0</v>
      </c>
      <c r="G74" s="101"/>
      <c r="H74" s="101"/>
      <c r="I74" s="101">
        <v>0</v>
      </c>
      <c r="J74" s="101">
        <f>D74*0.21</f>
        <v>383.02949999999998</v>
      </c>
      <c r="K74" s="100">
        <f>J74+D74</f>
        <v>2206.9794999999999</v>
      </c>
      <c r="L74" s="112"/>
      <c r="M74" s="98"/>
    </row>
    <row r="75" spans="1:13" s="126" customFormat="1" ht="15.75" x14ac:dyDescent="0.2">
      <c r="A75" s="127"/>
      <c r="B75" s="171" t="s">
        <v>90</v>
      </c>
      <c r="C75" s="172"/>
      <c r="D75" s="109">
        <f>D62+D65+D71+D72</f>
        <v>330618.45068000001</v>
      </c>
      <c r="E75" s="109"/>
      <c r="F75" s="110">
        <v>0</v>
      </c>
      <c r="G75" s="110"/>
      <c r="H75" s="110">
        <f>H62+H65+H71+H72</f>
        <v>331279.87</v>
      </c>
      <c r="I75" s="110">
        <f>I73</f>
        <v>33.4495</v>
      </c>
      <c r="J75" s="110">
        <f>J74+J71</f>
        <v>63760.634699999995</v>
      </c>
      <c r="K75" s="109">
        <f>D75+F75+I75+J75</f>
        <v>394412.53487999999</v>
      </c>
      <c r="L75" s="111"/>
      <c r="M75" s="127"/>
    </row>
    <row r="76" spans="1:13" ht="15.75" x14ac:dyDescent="0.2">
      <c r="B76" s="164" t="s">
        <v>105</v>
      </c>
      <c r="C76" s="165"/>
      <c r="D76" s="165"/>
      <c r="E76" s="165"/>
      <c r="F76" s="165"/>
      <c r="G76" s="165"/>
      <c r="H76" s="165"/>
      <c r="I76" s="165"/>
      <c r="J76" s="165"/>
      <c r="K76" s="165"/>
      <c r="L76" s="166"/>
    </row>
    <row r="77" spans="1:13" ht="15.75" x14ac:dyDescent="0.2">
      <c r="B77" s="15">
        <v>6.1</v>
      </c>
      <c r="C77" s="16" t="s">
        <v>91</v>
      </c>
      <c r="D77" s="17">
        <v>0</v>
      </c>
      <c r="E77" s="17">
        <v>0</v>
      </c>
      <c r="F77" s="17">
        <v>0</v>
      </c>
      <c r="G77" s="17">
        <v>0</v>
      </c>
      <c r="H77" s="17"/>
      <c r="I77" s="17">
        <v>0</v>
      </c>
      <c r="J77" s="17">
        <v>0</v>
      </c>
      <c r="K77" s="17">
        <v>0</v>
      </c>
      <c r="L77" s="18">
        <v>0</v>
      </c>
    </row>
    <row r="78" spans="1:13" ht="15.75" x14ac:dyDescent="0.2">
      <c r="B78" s="15">
        <v>6.2</v>
      </c>
      <c r="C78" s="16" t="s">
        <v>92</v>
      </c>
      <c r="D78" s="17">
        <v>0</v>
      </c>
      <c r="E78" s="17">
        <v>0</v>
      </c>
      <c r="F78" s="17">
        <v>0</v>
      </c>
      <c r="G78" s="17">
        <v>0</v>
      </c>
      <c r="H78" s="17"/>
      <c r="I78" s="17">
        <v>0</v>
      </c>
      <c r="J78" s="17">
        <v>0</v>
      </c>
      <c r="K78" s="17">
        <v>0</v>
      </c>
      <c r="L78" s="18">
        <v>0</v>
      </c>
    </row>
    <row r="79" spans="1:13" ht="15.75" x14ac:dyDescent="0.2">
      <c r="B79" s="167" t="s">
        <v>93</v>
      </c>
      <c r="C79" s="168"/>
      <c r="D79" s="26">
        <v>0</v>
      </c>
      <c r="E79" s="26">
        <v>0</v>
      </c>
      <c r="F79" s="26">
        <v>0</v>
      </c>
      <c r="G79" s="26">
        <v>0</v>
      </c>
      <c r="H79" s="26"/>
      <c r="I79" s="26">
        <v>0</v>
      </c>
      <c r="J79" s="26">
        <v>0</v>
      </c>
      <c r="K79" s="26">
        <v>0</v>
      </c>
      <c r="L79" s="27">
        <v>0</v>
      </c>
    </row>
    <row r="80" spans="1:13" ht="15.75" x14ac:dyDescent="0.2">
      <c r="B80" s="164" t="s">
        <v>106</v>
      </c>
      <c r="C80" s="165"/>
      <c r="D80" s="165"/>
      <c r="E80" s="165"/>
      <c r="F80" s="165"/>
      <c r="G80" s="165"/>
      <c r="H80" s="165"/>
      <c r="I80" s="165"/>
      <c r="J80" s="165"/>
      <c r="K80" s="165"/>
      <c r="L80" s="166"/>
    </row>
    <row r="81" spans="1:15" ht="15.75" x14ac:dyDescent="0.2">
      <c r="B81" s="15">
        <v>7.1</v>
      </c>
      <c r="C81" s="16" t="s">
        <v>94</v>
      </c>
      <c r="D81" s="17">
        <v>0</v>
      </c>
      <c r="E81" s="17">
        <v>0</v>
      </c>
      <c r="F81" s="31">
        <v>0</v>
      </c>
      <c r="G81" s="31">
        <v>60758.96</v>
      </c>
      <c r="H81" s="31">
        <v>60758.96</v>
      </c>
      <c r="I81" s="17">
        <v>0</v>
      </c>
      <c r="J81" s="17"/>
      <c r="K81" s="31">
        <f t="shared" ref="K81" si="10">D81+F81+I81</f>
        <v>0</v>
      </c>
      <c r="L81" s="35"/>
    </row>
    <row r="82" spans="1:15" ht="31.5" x14ac:dyDescent="0.2">
      <c r="A82" s="98"/>
      <c r="B82" s="99">
        <v>7.2</v>
      </c>
      <c r="C82" s="50" t="s">
        <v>95</v>
      </c>
      <c r="D82" s="101">
        <v>0</v>
      </c>
      <c r="E82" s="101">
        <v>0</v>
      </c>
      <c r="F82" s="100">
        <v>137992.24</v>
      </c>
      <c r="G82" s="100">
        <v>88900.28</v>
      </c>
      <c r="H82" s="100">
        <v>88900.28</v>
      </c>
      <c r="I82" s="101">
        <v>0</v>
      </c>
      <c r="J82" s="101">
        <f>F82*0.21</f>
        <v>28978.370399999996</v>
      </c>
      <c r="K82" s="100">
        <f>D82+F82+I82+J82</f>
        <v>166970.61039999998</v>
      </c>
      <c r="L82" s="102"/>
      <c r="M82" s="98"/>
      <c r="N82" s="98"/>
      <c r="O82" s="98"/>
    </row>
    <row r="83" spans="1:15" ht="15.75" x14ac:dyDescent="0.2">
      <c r="A83" s="98"/>
      <c r="B83" s="171" t="s">
        <v>96</v>
      </c>
      <c r="C83" s="172"/>
      <c r="D83" s="110">
        <f>D81+D82</f>
        <v>0</v>
      </c>
      <c r="E83" s="110">
        <v>0</v>
      </c>
      <c r="F83" s="110">
        <f>F81+F82</f>
        <v>137992.24</v>
      </c>
      <c r="G83" s="110">
        <f t="shared" ref="G83:H83" si="11">G81+G82</f>
        <v>149659.24</v>
      </c>
      <c r="H83" s="110">
        <f t="shared" si="11"/>
        <v>149659.24</v>
      </c>
      <c r="I83" s="110">
        <f>I81+I82</f>
        <v>0</v>
      </c>
      <c r="J83" s="101">
        <f>F83*0.21</f>
        <v>28978.370399999996</v>
      </c>
      <c r="K83" s="100">
        <f>D83+F83+I83+J83</f>
        <v>166970.61039999998</v>
      </c>
      <c r="L83" s="111"/>
      <c r="M83" s="98"/>
      <c r="N83" s="98"/>
      <c r="O83" s="98"/>
    </row>
    <row r="84" spans="1:15" ht="15.75" x14ac:dyDescent="0.2">
      <c r="A84" s="98"/>
      <c r="B84" s="169" t="s">
        <v>98</v>
      </c>
      <c r="C84" s="170"/>
      <c r="D84" s="92">
        <f>D15+D18+D46+D60+D75+D79+D83</f>
        <v>2865253.6873466671</v>
      </c>
      <c r="E84" s="92">
        <f>E15+E18+E46+E60+E75+E79+E83</f>
        <v>0</v>
      </c>
      <c r="F84" s="92">
        <f>F15+F18+F46+F60+F75+F79+F83</f>
        <v>148825.56999999998</v>
      </c>
      <c r="G84" s="92">
        <f>G15+G18+G46+G60+G75+G79+G83</f>
        <v>149659.24</v>
      </c>
      <c r="H84" s="92">
        <f>H15+H18+H46+H60+H75+H79+H83</f>
        <v>3296604.0200000005</v>
      </c>
      <c r="I84" s="92">
        <f>I15+I18+I46+I60+I75+I79+I83</f>
        <v>11037.300766666664</v>
      </c>
      <c r="J84" s="92">
        <f>J46+J75+J60+J83</f>
        <v>615125.25270000007</v>
      </c>
      <c r="K84" s="121">
        <f>D84+F84+I84+J84</f>
        <v>3640241.8108133338</v>
      </c>
      <c r="L84" s="122"/>
      <c r="M84" s="98"/>
      <c r="N84" s="98"/>
      <c r="O84" s="98"/>
    </row>
    <row r="85" spans="1:15" ht="15.75" x14ac:dyDescent="0.2">
      <c r="A85" s="98"/>
      <c r="B85" s="171" t="s">
        <v>97</v>
      </c>
      <c r="C85" s="172"/>
      <c r="D85" s="110">
        <f>D15+D18+D48+D53+D63</f>
        <v>2438211.8800000004</v>
      </c>
      <c r="E85" s="110">
        <f>E15+E18+E48+E53+E63</f>
        <v>0</v>
      </c>
      <c r="F85" s="110">
        <f>F15+F18+F48+F53+F63</f>
        <v>0</v>
      </c>
      <c r="G85" s="110">
        <f>G15+G18+G48+G53+G63</f>
        <v>0</v>
      </c>
      <c r="H85" s="110">
        <f>H15+H18+H48+H53+H63</f>
        <v>2698850.73</v>
      </c>
      <c r="I85" s="110">
        <v>0</v>
      </c>
      <c r="J85" s="110">
        <f>D85*0.21</f>
        <v>512024.49480000004</v>
      </c>
      <c r="K85" s="110">
        <f>D85+F85+I85</f>
        <v>2438211.8800000004</v>
      </c>
      <c r="L85" s="111"/>
      <c r="M85" s="98"/>
      <c r="N85" s="98"/>
      <c r="O85" s="98"/>
    </row>
    <row r="86" spans="1:15" x14ac:dyDescent="0.2">
      <c r="A86" s="98"/>
      <c r="B86" s="3"/>
      <c r="C86" s="3"/>
      <c r="D86" s="123"/>
      <c r="E86" s="123"/>
      <c r="F86" s="123"/>
      <c r="G86" s="123"/>
      <c r="H86" s="123"/>
      <c r="I86" s="123"/>
      <c r="J86" s="123"/>
      <c r="K86" s="123"/>
      <c r="L86" s="124"/>
      <c r="M86" s="98"/>
      <c r="N86" s="98"/>
      <c r="O86" s="98"/>
    </row>
    <row r="87" spans="1:15" x14ac:dyDescent="0.2">
      <c r="A87" s="98"/>
      <c r="B87" s="3"/>
      <c r="C87" s="3"/>
      <c r="D87" s="123"/>
      <c r="E87" s="123"/>
      <c r="F87" s="123"/>
      <c r="G87" s="123"/>
      <c r="H87" s="123"/>
      <c r="I87" s="123"/>
      <c r="J87" s="123"/>
      <c r="K87" s="123"/>
      <c r="L87" s="124"/>
      <c r="M87" s="98"/>
      <c r="N87" s="98"/>
      <c r="O87" s="98"/>
    </row>
    <row r="88" spans="1:15" x14ac:dyDescent="0.2">
      <c r="B88" s="3"/>
      <c r="C88" s="3"/>
      <c r="D88" s="4"/>
      <c r="E88" s="4"/>
      <c r="F88" s="4"/>
      <c r="G88" s="4"/>
      <c r="H88" s="4"/>
      <c r="I88" s="4"/>
      <c r="J88" s="4"/>
      <c r="K88" s="4"/>
      <c r="L88" s="5"/>
    </row>
    <row r="89" spans="1:15" s="86" customFormat="1" ht="15.75" x14ac:dyDescent="0.25">
      <c r="B89" s="173"/>
      <c r="C89" s="173"/>
      <c r="D89" s="173"/>
      <c r="E89" s="173"/>
      <c r="F89" s="173"/>
      <c r="G89" s="173"/>
      <c r="H89" s="173"/>
      <c r="I89" s="173"/>
      <c r="J89" s="173"/>
      <c r="K89" s="173"/>
      <c r="L89" s="173"/>
    </row>
    <row r="90" spans="1:15" ht="15.75" x14ac:dyDescent="0.25">
      <c r="B90" s="2"/>
      <c r="C90" s="163" t="s">
        <v>148</v>
      </c>
      <c r="D90" s="205"/>
      <c r="E90" s="205"/>
      <c r="F90" s="205"/>
      <c r="G90" s="205"/>
      <c r="H90" s="205"/>
      <c r="I90" s="205" t="s">
        <v>134</v>
      </c>
      <c r="J90" s="205"/>
      <c r="K90" s="2"/>
      <c r="L90" s="2"/>
    </row>
    <row r="91" spans="1:15" ht="15.75" x14ac:dyDescent="0.2">
      <c r="C91" s="207" t="s">
        <v>147</v>
      </c>
      <c r="D91" s="85"/>
      <c r="E91" s="85"/>
      <c r="F91" s="208" t="s">
        <v>149</v>
      </c>
      <c r="G91" s="208"/>
      <c r="H91" s="208"/>
      <c r="I91" s="208"/>
      <c r="J91" s="208"/>
    </row>
    <row r="92" spans="1:15" x14ac:dyDescent="0.2">
      <c r="D92" s="1"/>
    </row>
  </sheetData>
  <mergeCells count="25">
    <mergeCell ref="F91:J91"/>
    <mergeCell ref="B5:L5"/>
    <mergeCell ref="B6:B7"/>
    <mergeCell ref="C6:C7"/>
    <mergeCell ref="D6:E6"/>
    <mergeCell ref="F6:G6"/>
    <mergeCell ref="K6:L6"/>
    <mergeCell ref="I6:J6"/>
    <mergeCell ref="B79:C79"/>
    <mergeCell ref="B10:L10"/>
    <mergeCell ref="B15:C15"/>
    <mergeCell ref="B17:L17"/>
    <mergeCell ref="B18:C18"/>
    <mergeCell ref="B19:L19"/>
    <mergeCell ref="B46:C46"/>
    <mergeCell ref="B47:L47"/>
    <mergeCell ref="B60:C60"/>
    <mergeCell ref="B61:L61"/>
    <mergeCell ref="B75:C75"/>
    <mergeCell ref="B76:L76"/>
    <mergeCell ref="B80:L80"/>
    <mergeCell ref="B83:C83"/>
    <mergeCell ref="B84:C84"/>
    <mergeCell ref="B85:C85"/>
    <mergeCell ref="B89:L8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167B2-B0D7-46BD-A991-534B4D0E8211}">
  <sheetPr>
    <tabColor rgb="FF92D050"/>
  </sheetPr>
  <dimension ref="A3:O91"/>
  <sheetViews>
    <sheetView workbookViewId="0">
      <selection activeCell="C90" sqref="C90:J91"/>
    </sheetView>
  </sheetViews>
  <sheetFormatPr defaultRowHeight="12.75" x14ac:dyDescent="0.2"/>
  <cols>
    <col min="3" max="3" width="52.83203125" customWidth="1"/>
    <col min="4" max="4" width="18.6640625" customWidth="1"/>
    <col min="5" max="5" width="0" hidden="1" customWidth="1"/>
    <col min="6" max="6" width="19.5" customWidth="1"/>
    <col min="7" max="8" width="0" hidden="1" customWidth="1"/>
    <col min="9" max="10" width="16.83203125" customWidth="1"/>
    <col min="11" max="11" width="16" customWidth="1"/>
    <col min="12" max="12" width="0" hidden="1" customWidth="1"/>
  </cols>
  <sheetData>
    <row r="3" spans="2:12" ht="15.75" x14ac:dyDescent="0.2"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2:12" ht="15.75" x14ac:dyDescent="0.2"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</row>
    <row r="5" spans="2:12" ht="114" customHeight="1" x14ac:dyDescent="0.2">
      <c r="B5" s="203" t="s">
        <v>140</v>
      </c>
      <c r="C5" s="204"/>
      <c r="D5" s="204"/>
      <c r="E5" s="204"/>
      <c r="F5" s="204"/>
      <c r="G5" s="204"/>
      <c r="H5" s="204"/>
      <c r="I5" s="204"/>
      <c r="J5" s="204"/>
      <c r="K5" s="204"/>
      <c r="L5" s="204"/>
    </row>
    <row r="6" spans="2:12" ht="78.75" x14ac:dyDescent="0.2">
      <c r="B6" s="177" t="s">
        <v>0</v>
      </c>
      <c r="C6" s="179" t="s">
        <v>1</v>
      </c>
      <c r="D6" s="181" t="s">
        <v>2</v>
      </c>
      <c r="E6" s="182"/>
      <c r="F6" s="181" t="s">
        <v>3</v>
      </c>
      <c r="G6" s="182"/>
      <c r="H6" s="42" t="s">
        <v>100</v>
      </c>
      <c r="I6" s="200" t="s">
        <v>4</v>
      </c>
      <c r="J6" s="184"/>
      <c r="K6" s="183" t="s">
        <v>5</v>
      </c>
      <c r="L6" s="183"/>
    </row>
    <row r="7" spans="2:12" ht="15.75" x14ac:dyDescent="0.2">
      <c r="B7" s="178"/>
      <c r="C7" s="180"/>
      <c r="D7" s="44" t="s">
        <v>6</v>
      </c>
      <c r="E7" s="44" t="s">
        <v>7</v>
      </c>
      <c r="F7" s="44" t="s">
        <v>6</v>
      </c>
      <c r="G7" s="44" t="s">
        <v>7</v>
      </c>
      <c r="H7" s="44" t="s">
        <v>6</v>
      </c>
      <c r="I7" s="131" t="s">
        <v>122</v>
      </c>
      <c r="J7" s="128" t="s">
        <v>124</v>
      </c>
      <c r="K7" s="132" t="s">
        <v>6</v>
      </c>
      <c r="L7" s="84" t="s">
        <v>7</v>
      </c>
    </row>
    <row r="8" spans="2:12" ht="15.75" x14ac:dyDescent="0.2">
      <c r="B8" s="45">
        <v>1</v>
      </c>
      <c r="C8" s="46">
        <v>2</v>
      </c>
      <c r="D8" s="46">
        <v>3</v>
      </c>
      <c r="E8" s="46">
        <v>4</v>
      </c>
      <c r="F8" s="46">
        <v>4</v>
      </c>
      <c r="G8" s="46">
        <v>6</v>
      </c>
      <c r="H8" s="46">
        <v>5</v>
      </c>
      <c r="I8" s="46">
        <v>5</v>
      </c>
      <c r="J8" s="134">
        <v>6</v>
      </c>
      <c r="K8" s="46">
        <v>7</v>
      </c>
      <c r="L8" s="47">
        <v>9</v>
      </c>
    </row>
    <row r="9" spans="2:12" ht="15.75" x14ac:dyDescent="0.25"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</row>
    <row r="10" spans="2:12" ht="15.75" x14ac:dyDescent="0.2">
      <c r="B10" s="174" t="s">
        <v>107</v>
      </c>
      <c r="C10" s="175"/>
      <c r="D10" s="175"/>
      <c r="E10" s="175"/>
      <c r="F10" s="175"/>
      <c r="G10" s="175"/>
      <c r="H10" s="175"/>
      <c r="I10" s="175"/>
      <c r="J10" s="175"/>
      <c r="K10" s="175"/>
      <c r="L10" s="176"/>
    </row>
    <row r="11" spans="2:12" ht="15.75" x14ac:dyDescent="0.2">
      <c r="B11" s="49">
        <v>1.1000000000000001</v>
      </c>
      <c r="C11" s="50" t="s">
        <v>8</v>
      </c>
      <c r="D11" s="51">
        <v>0</v>
      </c>
      <c r="E11" s="51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2">
        <v>0</v>
      </c>
    </row>
    <row r="12" spans="2:12" ht="15.75" x14ac:dyDescent="0.2">
      <c r="B12" s="49">
        <v>1.2</v>
      </c>
      <c r="C12" s="50" t="s">
        <v>9</v>
      </c>
      <c r="D12" s="51">
        <v>0</v>
      </c>
      <c r="E12" s="51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2">
        <v>0</v>
      </c>
    </row>
    <row r="13" spans="2:12" ht="31.5" x14ac:dyDescent="0.2">
      <c r="B13" s="49">
        <v>1.3</v>
      </c>
      <c r="C13" s="50" t="s">
        <v>10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2">
        <v>0</v>
      </c>
    </row>
    <row r="14" spans="2:12" ht="15.75" x14ac:dyDescent="0.2">
      <c r="B14" s="49">
        <v>1.4</v>
      </c>
      <c r="C14" s="50" t="s">
        <v>11</v>
      </c>
      <c r="D14" s="51">
        <v>0</v>
      </c>
      <c r="E14" s="51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2">
        <v>0</v>
      </c>
    </row>
    <row r="15" spans="2:12" ht="15.75" x14ac:dyDescent="0.2">
      <c r="B15" s="171" t="s">
        <v>12</v>
      </c>
      <c r="C15" s="172"/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4">
        <v>0</v>
      </c>
    </row>
    <row r="16" spans="2:12" ht="15.75" x14ac:dyDescent="0.25"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</row>
    <row r="17" spans="2:12" ht="15.75" x14ac:dyDescent="0.2">
      <c r="B17" s="174" t="s">
        <v>102</v>
      </c>
      <c r="C17" s="175"/>
      <c r="D17" s="175"/>
      <c r="E17" s="175"/>
      <c r="F17" s="175"/>
      <c r="G17" s="175"/>
      <c r="H17" s="175"/>
      <c r="I17" s="175"/>
      <c r="J17" s="175"/>
      <c r="K17" s="175"/>
      <c r="L17" s="176"/>
    </row>
    <row r="18" spans="2:12" ht="15.75" x14ac:dyDescent="0.2">
      <c r="B18" s="171" t="s">
        <v>13</v>
      </c>
      <c r="C18" s="172"/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4">
        <v>0</v>
      </c>
    </row>
    <row r="19" spans="2:12" ht="15.75" x14ac:dyDescent="0.2">
      <c r="B19" s="174" t="s">
        <v>130</v>
      </c>
      <c r="C19" s="175"/>
      <c r="D19" s="175"/>
      <c r="E19" s="175"/>
      <c r="F19" s="175"/>
      <c r="G19" s="175"/>
      <c r="H19" s="175"/>
      <c r="I19" s="175"/>
      <c r="J19" s="175"/>
      <c r="K19" s="175"/>
      <c r="L19" s="176"/>
    </row>
    <row r="20" spans="2:12" ht="15.75" x14ac:dyDescent="0.2">
      <c r="B20" s="15">
        <v>3.1</v>
      </c>
      <c r="C20" s="16" t="s">
        <v>14</v>
      </c>
      <c r="D20" s="17">
        <v>1666.67</v>
      </c>
      <c r="E20" s="17"/>
      <c r="F20" s="17">
        <v>0</v>
      </c>
      <c r="G20" s="17">
        <v>0</v>
      </c>
      <c r="H20" s="17">
        <v>1666.67</v>
      </c>
      <c r="I20" s="17">
        <f t="shared" ref="I20:I25" si="0">D20*0.19</f>
        <v>316.66730000000001</v>
      </c>
      <c r="J20" s="17">
        <v>0</v>
      </c>
      <c r="K20" s="17">
        <f t="shared" ref="K20:K25" si="1">D20+F20+I20</f>
        <v>1983.3373000000001</v>
      </c>
      <c r="L20" s="18"/>
    </row>
    <row r="21" spans="2:12" ht="15.75" x14ac:dyDescent="0.2">
      <c r="B21" s="19" t="s">
        <v>15</v>
      </c>
      <c r="C21" s="16" t="s">
        <v>16</v>
      </c>
      <c r="D21" s="17">
        <v>1666.67</v>
      </c>
      <c r="E21" s="17"/>
      <c r="F21" s="17">
        <v>0</v>
      </c>
      <c r="G21" s="17">
        <v>0</v>
      </c>
      <c r="H21" s="17">
        <v>1666.67</v>
      </c>
      <c r="I21" s="17">
        <f t="shared" si="0"/>
        <v>316.66730000000001</v>
      </c>
      <c r="J21" s="17">
        <v>0</v>
      </c>
      <c r="K21" s="17">
        <f t="shared" si="1"/>
        <v>1983.3373000000001</v>
      </c>
      <c r="L21" s="18"/>
    </row>
    <row r="22" spans="2:12" ht="15.75" x14ac:dyDescent="0.2">
      <c r="B22" s="19" t="s">
        <v>17</v>
      </c>
      <c r="C22" s="16" t="s">
        <v>18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f t="shared" si="0"/>
        <v>0</v>
      </c>
      <c r="J22" s="17">
        <v>0</v>
      </c>
      <c r="K22" s="17">
        <f t="shared" si="1"/>
        <v>0</v>
      </c>
      <c r="L22" s="18">
        <v>0</v>
      </c>
    </row>
    <row r="23" spans="2:12" ht="15.75" x14ac:dyDescent="0.2">
      <c r="B23" s="19" t="s">
        <v>19</v>
      </c>
      <c r="C23" s="16" t="s">
        <v>20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f t="shared" si="0"/>
        <v>0</v>
      </c>
      <c r="J23" s="17">
        <v>0</v>
      </c>
      <c r="K23" s="17">
        <f t="shared" si="1"/>
        <v>0</v>
      </c>
      <c r="L23" s="18">
        <v>0</v>
      </c>
    </row>
    <row r="24" spans="2:12" ht="31.5" x14ac:dyDescent="0.2">
      <c r="B24" s="20">
        <v>3.2</v>
      </c>
      <c r="C24" s="21" t="s">
        <v>21</v>
      </c>
      <c r="D24" s="22">
        <v>166.66666666666666</v>
      </c>
      <c r="E24" s="22"/>
      <c r="F24" s="22">
        <v>0</v>
      </c>
      <c r="G24" s="22">
        <v>0</v>
      </c>
      <c r="H24" s="23">
        <v>166.67</v>
      </c>
      <c r="I24" s="17">
        <f t="shared" si="0"/>
        <v>31.666666666666664</v>
      </c>
      <c r="J24" s="17">
        <v>0</v>
      </c>
      <c r="K24" s="17">
        <f t="shared" si="1"/>
        <v>198.33333333333331</v>
      </c>
      <c r="L24" s="24"/>
    </row>
    <row r="25" spans="2:12" ht="15.75" x14ac:dyDescent="0.2">
      <c r="B25" s="15">
        <v>3.3</v>
      </c>
      <c r="C25" s="16" t="s">
        <v>22</v>
      </c>
      <c r="D25" s="17">
        <v>1250</v>
      </c>
      <c r="E25" s="17"/>
      <c r="F25" s="17">
        <v>0</v>
      </c>
      <c r="G25" s="17">
        <v>0</v>
      </c>
      <c r="H25" s="17">
        <v>1250</v>
      </c>
      <c r="I25" s="17">
        <f t="shared" si="0"/>
        <v>237.5</v>
      </c>
      <c r="J25" s="17">
        <v>0</v>
      </c>
      <c r="K25" s="17">
        <f t="shared" si="1"/>
        <v>1487.5</v>
      </c>
      <c r="L25" s="18"/>
    </row>
    <row r="26" spans="2:12" ht="31.5" x14ac:dyDescent="0.2">
      <c r="B26" s="15">
        <v>3.4</v>
      </c>
      <c r="C26" s="16" t="s">
        <v>23</v>
      </c>
      <c r="D26" s="17">
        <f>D27+D28</f>
        <v>4666.67</v>
      </c>
      <c r="E26" s="17"/>
      <c r="F26" s="17">
        <v>0</v>
      </c>
      <c r="G26" s="17">
        <v>0</v>
      </c>
      <c r="H26" s="17">
        <v>2000</v>
      </c>
      <c r="I26" s="17">
        <f>I27+J28</f>
        <v>966.66729999999995</v>
      </c>
      <c r="J26" s="17"/>
      <c r="K26" s="17">
        <f>K27+K28</f>
        <v>5633.3373000000001</v>
      </c>
      <c r="L26" s="18"/>
    </row>
    <row r="27" spans="2:12" ht="31.5" x14ac:dyDescent="0.2">
      <c r="B27" s="15" t="s">
        <v>113</v>
      </c>
      <c r="C27" s="16" t="s">
        <v>119</v>
      </c>
      <c r="D27" s="17">
        <v>666.67</v>
      </c>
      <c r="E27" s="17"/>
      <c r="F27" s="17">
        <v>0</v>
      </c>
      <c r="G27" s="17"/>
      <c r="H27" s="17"/>
      <c r="I27" s="17">
        <f>D27*0.19</f>
        <v>126.6673</v>
      </c>
      <c r="J27" s="17">
        <v>0</v>
      </c>
      <c r="K27" s="17">
        <f>D27+F27+I27</f>
        <v>793.33729999999991</v>
      </c>
      <c r="L27" s="18"/>
    </row>
    <row r="28" spans="2:12" ht="31.5" x14ac:dyDescent="0.2">
      <c r="B28" s="15" t="s">
        <v>114</v>
      </c>
      <c r="C28" s="16" t="s">
        <v>120</v>
      </c>
      <c r="D28" s="17">
        <v>4000</v>
      </c>
      <c r="E28" s="17"/>
      <c r="F28" s="17">
        <v>0</v>
      </c>
      <c r="G28" s="17"/>
      <c r="H28" s="17"/>
      <c r="I28" s="17">
        <v>0</v>
      </c>
      <c r="J28" s="17">
        <f>D28*0.21</f>
        <v>840</v>
      </c>
      <c r="K28" s="17">
        <f>+D28+F28+I28+J28</f>
        <v>4840</v>
      </c>
      <c r="L28" s="18"/>
    </row>
    <row r="29" spans="2:12" ht="15.75" x14ac:dyDescent="0.2">
      <c r="B29" s="15">
        <v>3.5</v>
      </c>
      <c r="C29" s="16" t="s">
        <v>24</v>
      </c>
      <c r="D29" s="17">
        <f>D30+D31+D32+D33+D34+D35</f>
        <v>48331.67</v>
      </c>
      <c r="E29" s="17"/>
      <c r="F29" s="17">
        <v>0</v>
      </c>
      <c r="G29" s="17">
        <v>0</v>
      </c>
      <c r="H29" s="17">
        <v>48164.17</v>
      </c>
      <c r="I29" s="17">
        <f t="shared" ref="I29:I35" si="2">D29*0.19</f>
        <v>9183.0172999999995</v>
      </c>
      <c r="J29" s="17">
        <v>0</v>
      </c>
      <c r="K29" s="17">
        <f t="shared" ref="K29:K36" si="3">D29+F29+I29</f>
        <v>57514.687299999998</v>
      </c>
      <c r="L29" s="18"/>
    </row>
    <row r="30" spans="2:12" ht="15.75" x14ac:dyDescent="0.2">
      <c r="B30" s="19" t="s">
        <v>25</v>
      </c>
      <c r="C30" s="16" t="s">
        <v>26</v>
      </c>
      <c r="D30" s="17">
        <v>0</v>
      </c>
      <c r="E30" s="17"/>
      <c r="F30" s="17">
        <v>0</v>
      </c>
      <c r="G30" s="17">
        <v>0</v>
      </c>
      <c r="H30" s="17">
        <v>0</v>
      </c>
      <c r="I30" s="17">
        <f t="shared" si="2"/>
        <v>0</v>
      </c>
      <c r="J30" s="17">
        <v>0</v>
      </c>
      <c r="K30" s="17">
        <f t="shared" si="3"/>
        <v>0</v>
      </c>
      <c r="L30" s="18"/>
    </row>
    <row r="31" spans="2:12" ht="15.75" x14ac:dyDescent="0.2">
      <c r="B31" s="19" t="s">
        <v>27</v>
      </c>
      <c r="C31" s="16" t="s">
        <v>28</v>
      </c>
      <c r="D31" s="17">
        <v>0</v>
      </c>
      <c r="E31" s="17"/>
      <c r="F31" s="17">
        <v>0</v>
      </c>
      <c r="G31" s="17">
        <v>0</v>
      </c>
      <c r="H31" s="17">
        <v>0</v>
      </c>
      <c r="I31" s="17">
        <f t="shared" si="2"/>
        <v>0</v>
      </c>
      <c r="J31" s="17">
        <v>0</v>
      </c>
      <c r="K31" s="17">
        <f t="shared" si="3"/>
        <v>0</v>
      </c>
      <c r="L31" s="18"/>
    </row>
    <row r="32" spans="2:12" ht="31.5" x14ac:dyDescent="0.2">
      <c r="B32" s="19" t="s">
        <v>29</v>
      </c>
      <c r="C32" s="16" t="s">
        <v>30</v>
      </c>
      <c r="D32" s="17">
        <v>5000</v>
      </c>
      <c r="E32" s="17"/>
      <c r="F32" s="17">
        <v>0</v>
      </c>
      <c r="G32" s="17">
        <v>0</v>
      </c>
      <c r="H32" s="17">
        <v>5000</v>
      </c>
      <c r="I32" s="17">
        <f t="shared" si="2"/>
        <v>950</v>
      </c>
      <c r="J32" s="17">
        <v>0</v>
      </c>
      <c r="K32" s="17">
        <f t="shared" si="3"/>
        <v>5950</v>
      </c>
      <c r="L32" s="18"/>
    </row>
    <row r="33" spans="2:12" ht="31.5" x14ac:dyDescent="0.2">
      <c r="B33" s="19" t="s">
        <v>31</v>
      </c>
      <c r="C33" s="16" t="s">
        <v>32</v>
      </c>
      <c r="D33" s="53">
        <v>166.67</v>
      </c>
      <c r="E33" s="53"/>
      <c r="F33" s="53">
        <v>0</v>
      </c>
      <c r="G33" s="53"/>
      <c r="H33" s="53">
        <v>1500</v>
      </c>
      <c r="I33" s="53">
        <f t="shared" si="2"/>
        <v>31.667299999999997</v>
      </c>
      <c r="J33" s="53">
        <v>0</v>
      </c>
      <c r="K33" s="53">
        <f t="shared" si="3"/>
        <v>198.33729999999997</v>
      </c>
      <c r="L33" s="54"/>
    </row>
    <row r="34" spans="2:12" ht="31.5" x14ac:dyDescent="0.2">
      <c r="B34" s="19" t="s">
        <v>33</v>
      </c>
      <c r="C34" s="16" t="s">
        <v>34</v>
      </c>
      <c r="D34" s="17">
        <v>5500.83</v>
      </c>
      <c r="E34" s="17"/>
      <c r="F34" s="17">
        <v>0</v>
      </c>
      <c r="G34" s="17"/>
      <c r="H34" s="17">
        <v>5500</v>
      </c>
      <c r="I34" s="17">
        <f t="shared" si="2"/>
        <v>1045.1577</v>
      </c>
      <c r="J34" s="17">
        <v>0</v>
      </c>
      <c r="K34" s="17">
        <f t="shared" si="3"/>
        <v>6545.9876999999997</v>
      </c>
      <c r="L34" s="18"/>
    </row>
    <row r="35" spans="2:12" ht="15.75" x14ac:dyDescent="0.2">
      <c r="B35" s="19" t="s">
        <v>35</v>
      </c>
      <c r="C35" s="16" t="s">
        <v>36</v>
      </c>
      <c r="D35" s="17">
        <v>37664.17</v>
      </c>
      <c r="E35" s="17"/>
      <c r="F35" s="17">
        <v>0</v>
      </c>
      <c r="G35" s="17"/>
      <c r="H35" s="17">
        <v>36164.17</v>
      </c>
      <c r="I35" s="17">
        <f t="shared" si="2"/>
        <v>7156.1922999999997</v>
      </c>
      <c r="J35" s="17">
        <v>0</v>
      </c>
      <c r="K35" s="17">
        <f t="shared" si="3"/>
        <v>44820.362300000001</v>
      </c>
      <c r="L35" s="18"/>
    </row>
    <row r="36" spans="2:12" ht="15.75" x14ac:dyDescent="0.2">
      <c r="B36" s="15">
        <v>3.6</v>
      </c>
      <c r="C36" s="16" t="s">
        <v>37</v>
      </c>
      <c r="D36" s="17">
        <v>0</v>
      </c>
      <c r="E36" s="17"/>
      <c r="F36" s="17">
        <v>5833.33</v>
      </c>
      <c r="G36" s="17"/>
      <c r="H36" s="17">
        <v>6000</v>
      </c>
      <c r="I36" s="17">
        <f>(D36+F36)*0.19</f>
        <v>1108.3326999999999</v>
      </c>
      <c r="J36" s="17">
        <v>0</v>
      </c>
      <c r="K36" s="17">
        <f t="shared" si="3"/>
        <v>6941.6626999999999</v>
      </c>
      <c r="L36" s="18"/>
    </row>
    <row r="37" spans="2:12" ht="15.75" x14ac:dyDescent="0.2">
      <c r="B37" s="15">
        <v>3.7</v>
      </c>
      <c r="C37" s="16" t="s">
        <v>38</v>
      </c>
      <c r="D37" s="17">
        <v>0</v>
      </c>
      <c r="E37" s="17"/>
      <c r="F37" s="17">
        <v>5000</v>
      </c>
      <c r="G37" s="17"/>
      <c r="H37" s="17">
        <v>5000</v>
      </c>
      <c r="I37" s="17">
        <v>0</v>
      </c>
      <c r="J37" s="17">
        <f>F37*0.21</f>
        <v>1050</v>
      </c>
      <c r="K37" s="17">
        <f>D37+F37+I37+J37</f>
        <v>6050</v>
      </c>
      <c r="L37" s="18"/>
    </row>
    <row r="38" spans="2:12" ht="31.5" x14ac:dyDescent="0.2">
      <c r="B38" s="19" t="s">
        <v>39</v>
      </c>
      <c r="C38" s="16" t="s">
        <v>40</v>
      </c>
      <c r="D38" s="17">
        <v>0</v>
      </c>
      <c r="E38" s="17"/>
      <c r="F38" s="17">
        <v>4000</v>
      </c>
      <c r="G38" s="17"/>
      <c r="H38" s="17">
        <v>4000</v>
      </c>
      <c r="I38" s="17">
        <v>0</v>
      </c>
      <c r="J38" s="17">
        <f>F38*0.21</f>
        <v>840</v>
      </c>
      <c r="K38" s="17">
        <f>D38+F38+I38+J38</f>
        <v>4840</v>
      </c>
      <c r="L38" s="18"/>
    </row>
    <row r="39" spans="2:12" ht="15.75" x14ac:dyDescent="0.2">
      <c r="B39" s="19" t="s">
        <v>41</v>
      </c>
      <c r="C39" s="16" t="s">
        <v>42</v>
      </c>
      <c r="D39" s="17">
        <v>0</v>
      </c>
      <c r="E39" s="17"/>
      <c r="F39" s="17">
        <v>1000</v>
      </c>
      <c r="G39" s="17"/>
      <c r="H39" s="17">
        <v>1000</v>
      </c>
      <c r="I39" s="17">
        <v>0</v>
      </c>
      <c r="J39" s="17">
        <f>F39*0.21</f>
        <v>210</v>
      </c>
      <c r="K39" s="17">
        <f>D39+F39+I39+J39</f>
        <v>1210</v>
      </c>
      <c r="L39" s="18"/>
    </row>
    <row r="40" spans="2:12" ht="15.75" x14ac:dyDescent="0.2">
      <c r="B40" s="15">
        <v>3.8</v>
      </c>
      <c r="C40" s="16" t="s">
        <v>43</v>
      </c>
      <c r="D40" s="17">
        <f>D41+D44+D45</f>
        <v>24341.679999999997</v>
      </c>
      <c r="E40" s="17"/>
      <c r="F40" s="17">
        <v>0</v>
      </c>
      <c r="G40" s="17"/>
      <c r="H40" s="17">
        <v>27566.67</v>
      </c>
      <c r="I40" s="17">
        <v>0</v>
      </c>
      <c r="J40" s="17">
        <f>D40*0.21</f>
        <v>5111.7527999999993</v>
      </c>
      <c r="K40" s="17">
        <f>D40+F40+I40+J40</f>
        <v>29453.432799999995</v>
      </c>
      <c r="L40" s="18"/>
    </row>
    <row r="41" spans="2:12" ht="15.75" x14ac:dyDescent="0.2">
      <c r="B41" s="19" t="s">
        <v>44</v>
      </c>
      <c r="C41" s="16" t="s">
        <v>45</v>
      </c>
      <c r="D41" s="17">
        <v>1666.67</v>
      </c>
      <c r="E41" s="17"/>
      <c r="F41" s="17">
        <v>0</v>
      </c>
      <c r="G41" s="17"/>
      <c r="H41" s="17">
        <v>1666.67</v>
      </c>
      <c r="I41" s="17">
        <v>0</v>
      </c>
      <c r="J41" s="17">
        <f t="shared" ref="J41:J45" si="4">D41*0.21</f>
        <v>350.00069999999999</v>
      </c>
      <c r="K41" s="17">
        <f t="shared" ref="K41:K43" si="5">D41+F41+I41+J41</f>
        <v>2016.6707000000001</v>
      </c>
      <c r="L41" s="18"/>
    </row>
    <row r="42" spans="2:12" ht="15.75" x14ac:dyDescent="0.2">
      <c r="B42" s="19" t="s">
        <v>46</v>
      </c>
      <c r="C42" s="16" t="s">
        <v>47</v>
      </c>
      <c r="D42" s="17">
        <v>1000</v>
      </c>
      <c r="E42" s="17"/>
      <c r="F42" s="17">
        <v>0</v>
      </c>
      <c r="G42" s="17"/>
      <c r="H42" s="17">
        <v>1000</v>
      </c>
      <c r="I42" s="17">
        <v>0</v>
      </c>
      <c r="J42" s="17">
        <f t="shared" si="4"/>
        <v>210</v>
      </c>
      <c r="K42" s="17">
        <f t="shared" si="5"/>
        <v>1210</v>
      </c>
      <c r="L42" s="18"/>
    </row>
    <row r="43" spans="2:12" ht="47.25" x14ac:dyDescent="0.2">
      <c r="B43" s="19" t="s">
        <v>48</v>
      </c>
      <c r="C43" s="16" t="s">
        <v>49</v>
      </c>
      <c r="D43" s="17">
        <v>666.67</v>
      </c>
      <c r="E43" s="17"/>
      <c r="F43" s="17">
        <v>0</v>
      </c>
      <c r="G43" s="17"/>
      <c r="H43" s="17">
        <v>666.67</v>
      </c>
      <c r="I43" s="17">
        <v>0</v>
      </c>
      <c r="J43" s="17">
        <f t="shared" si="4"/>
        <v>140.00069999999999</v>
      </c>
      <c r="K43" s="17">
        <f t="shared" si="5"/>
        <v>806.6706999999999</v>
      </c>
      <c r="L43" s="18"/>
    </row>
    <row r="44" spans="2:12" ht="15.75" x14ac:dyDescent="0.2">
      <c r="B44" s="19" t="s">
        <v>50</v>
      </c>
      <c r="C44" s="16" t="s">
        <v>51</v>
      </c>
      <c r="D44" s="17">
        <v>20416.669999999998</v>
      </c>
      <c r="E44" s="17"/>
      <c r="F44" s="17">
        <v>0</v>
      </c>
      <c r="G44" s="17"/>
      <c r="H44" s="17">
        <v>21500</v>
      </c>
      <c r="I44" s="17">
        <v>0</v>
      </c>
      <c r="J44" s="17">
        <f t="shared" si="4"/>
        <v>4287.5006999999996</v>
      </c>
      <c r="K44" s="17">
        <f>D44+F44+I44+J44</f>
        <v>24704.170699999999</v>
      </c>
      <c r="L44" s="18"/>
    </row>
    <row r="45" spans="2:12" ht="47.25" x14ac:dyDescent="0.2">
      <c r="B45" s="25" t="s">
        <v>52</v>
      </c>
      <c r="C45" s="21" t="s">
        <v>53</v>
      </c>
      <c r="D45" s="22">
        <v>2258.34</v>
      </c>
      <c r="E45" s="22"/>
      <c r="F45" s="22">
        <v>0</v>
      </c>
      <c r="G45" s="22"/>
      <c r="H45" s="23">
        <v>4400</v>
      </c>
      <c r="I45" s="17">
        <v>0</v>
      </c>
      <c r="J45" s="17">
        <f t="shared" si="4"/>
        <v>474.25139999999999</v>
      </c>
      <c r="K45" s="17">
        <f>D45+F45+I45+J45</f>
        <v>2732.5914000000002</v>
      </c>
      <c r="L45" s="24"/>
    </row>
    <row r="46" spans="2:12" ht="15.75" x14ac:dyDescent="0.2">
      <c r="B46" s="167" t="s">
        <v>54</v>
      </c>
      <c r="C46" s="168"/>
      <c r="D46" s="26">
        <f>D20+D24+D25+D26+D29+D36+D37+D40</f>
        <v>80423.356666666659</v>
      </c>
      <c r="E46" s="26"/>
      <c r="F46" s="26">
        <f>F20+F24+F25+F26+F29+F36+F37+F40</f>
        <v>10833.33</v>
      </c>
      <c r="G46" s="26"/>
      <c r="H46" s="26">
        <f>H20+H24+H25+H26+H29+H36+H37+H40</f>
        <v>91814.18</v>
      </c>
      <c r="I46" s="26">
        <f>I36+I29+I27+I25+I20+I24</f>
        <v>11003.851266666663</v>
      </c>
      <c r="J46" s="26">
        <f>J40+J37+J28</f>
        <v>7001.7527999999993</v>
      </c>
      <c r="K46" s="26">
        <f>D46+F46+I46+J46</f>
        <v>109262.29073333333</v>
      </c>
      <c r="L46" s="27"/>
    </row>
    <row r="47" spans="2:12" ht="15.75" x14ac:dyDescent="0.2">
      <c r="B47" s="164" t="s">
        <v>103</v>
      </c>
      <c r="C47" s="165"/>
      <c r="D47" s="165"/>
      <c r="E47" s="165"/>
      <c r="F47" s="165"/>
      <c r="G47" s="165"/>
      <c r="H47" s="165"/>
      <c r="I47" s="165"/>
      <c r="J47" s="165"/>
      <c r="K47" s="165"/>
      <c r="L47" s="166"/>
    </row>
    <row r="48" spans="2:12" s="98" customFormat="1" ht="15.75" x14ac:dyDescent="0.2">
      <c r="B48" s="99">
        <v>4.0999999999999996</v>
      </c>
      <c r="C48" s="50" t="s">
        <v>55</v>
      </c>
      <c r="D48" s="100">
        <f>D49+D50+D51+D52</f>
        <v>1943760.85</v>
      </c>
      <c r="E48" s="100"/>
      <c r="F48" s="101">
        <v>0</v>
      </c>
      <c r="G48" s="101"/>
      <c r="H48" s="101">
        <v>2406860.88</v>
      </c>
      <c r="I48" s="101">
        <v>0</v>
      </c>
      <c r="J48" s="101">
        <f>D48*0.21</f>
        <v>408189.77850000001</v>
      </c>
      <c r="K48" s="100">
        <f>D48+F48+I48+J48</f>
        <v>2351950.6285000001</v>
      </c>
      <c r="L48" s="102"/>
    </row>
    <row r="49" spans="2:12" s="98" customFormat="1" ht="15.75" x14ac:dyDescent="0.2">
      <c r="B49" s="103" t="s">
        <v>56</v>
      </c>
      <c r="C49" s="104" t="s">
        <v>57</v>
      </c>
      <c r="D49" s="105">
        <f>1824999.58+20635.96-15000</f>
        <v>1830635.54</v>
      </c>
      <c r="E49" s="105"/>
      <c r="F49" s="101">
        <v>0</v>
      </c>
      <c r="G49" s="106"/>
      <c r="H49" s="106">
        <v>2403510.35</v>
      </c>
      <c r="I49" s="101">
        <v>0</v>
      </c>
      <c r="J49" s="101">
        <f t="shared" ref="J49:J60" si="6">D49*0.21</f>
        <v>384433.46340000001</v>
      </c>
      <c r="K49" s="100">
        <f t="shared" ref="K49:K60" si="7">D49+F49+I49+J49</f>
        <v>2215069.0033999998</v>
      </c>
      <c r="L49" s="107"/>
    </row>
    <row r="50" spans="2:12" ht="15.75" x14ac:dyDescent="0.2">
      <c r="B50" s="28" t="s">
        <v>58</v>
      </c>
      <c r="C50" s="29" t="s">
        <v>61</v>
      </c>
      <c r="D50" s="30">
        <f>4195.13+13.55</f>
        <v>4208.68</v>
      </c>
      <c r="E50" s="30"/>
      <c r="F50" s="17">
        <v>0</v>
      </c>
      <c r="G50" s="30"/>
      <c r="H50" s="30">
        <v>2929.96</v>
      </c>
      <c r="I50" s="17">
        <v>0</v>
      </c>
      <c r="J50" s="101">
        <f t="shared" si="6"/>
        <v>883.82280000000003</v>
      </c>
      <c r="K50" s="100">
        <f t="shared" si="7"/>
        <v>5092.5028000000002</v>
      </c>
      <c r="L50" s="32"/>
    </row>
    <row r="51" spans="2:12" s="98" customFormat="1" ht="15.75" x14ac:dyDescent="0.2">
      <c r="B51" s="103" t="s">
        <v>60</v>
      </c>
      <c r="C51" s="104" t="s">
        <v>59</v>
      </c>
      <c r="D51" s="105">
        <f>980.97+9.03</f>
        <v>990</v>
      </c>
      <c r="E51" s="106"/>
      <c r="F51" s="101">
        <v>0</v>
      </c>
      <c r="G51" s="106"/>
      <c r="H51" s="106">
        <v>420.57</v>
      </c>
      <c r="I51" s="101">
        <v>0</v>
      </c>
      <c r="J51" s="101">
        <f t="shared" si="6"/>
        <v>207.9</v>
      </c>
      <c r="K51" s="100">
        <f t="shared" si="7"/>
        <v>1197.9000000000001</v>
      </c>
      <c r="L51" s="108"/>
    </row>
    <row r="52" spans="2:12" ht="15.75" x14ac:dyDescent="0.2">
      <c r="B52" s="28" t="s">
        <v>99</v>
      </c>
      <c r="C52" s="29" t="s">
        <v>64</v>
      </c>
      <c r="D52" s="105">
        <f>106007.53+1919.1</f>
        <v>107926.63</v>
      </c>
      <c r="E52" s="30"/>
      <c r="F52" s="17">
        <v>0</v>
      </c>
      <c r="G52" s="30"/>
      <c r="H52" s="30">
        <v>0</v>
      </c>
      <c r="I52" s="17">
        <v>0</v>
      </c>
      <c r="J52" s="101">
        <f t="shared" si="6"/>
        <v>22664.5923</v>
      </c>
      <c r="K52" s="100">
        <f t="shared" si="7"/>
        <v>130591.22230000001</v>
      </c>
      <c r="L52" s="32"/>
    </row>
    <row r="53" spans="2:12" s="98" customFormat="1" ht="31.5" x14ac:dyDescent="0.2">
      <c r="B53" s="99">
        <v>4.2</v>
      </c>
      <c r="C53" s="50" t="s">
        <v>62</v>
      </c>
      <c r="D53" s="100">
        <f>D54</f>
        <v>43758.66</v>
      </c>
      <c r="E53" s="100"/>
      <c r="F53" s="101">
        <v>0</v>
      </c>
      <c r="G53" s="101"/>
      <c r="H53" s="101">
        <v>241989.85</v>
      </c>
      <c r="I53" s="101">
        <v>0</v>
      </c>
      <c r="J53" s="101">
        <f t="shared" si="6"/>
        <v>9189.3186000000005</v>
      </c>
      <c r="K53" s="100">
        <f t="shared" si="7"/>
        <v>52947.978600000002</v>
      </c>
      <c r="L53" s="102"/>
    </row>
    <row r="54" spans="2:12" ht="15.75" x14ac:dyDescent="0.2">
      <c r="B54" s="28" t="s">
        <v>63</v>
      </c>
      <c r="C54" s="29" t="s">
        <v>61</v>
      </c>
      <c r="D54" s="33">
        <v>43758.66</v>
      </c>
      <c r="E54" s="33"/>
      <c r="F54" s="17">
        <v>0</v>
      </c>
      <c r="G54" s="30"/>
      <c r="H54" s="30">
        <v>37507.370000000003</v>
      </c>
      <c r="I54" s="17">
        <v>0</v>
      </c>
      <c r="J54" s="101">
        <f t="shared" si="6"/>
        <v>9189.3186000000005</v>
      </c>
      <c r="K54" s="100">
        <f t="shared" si="7"/>
        <v>52947.978600000002</v>
      </c>
      <c r="L54" s="34"/>
    </row>
    <row r="55" spans="2:12" ht="31.5" x14ac:dyDescent="0.2">
      <c r="B55" s="15">
        <v>4.3</v>
      </c>
      <c r="C55" s="16" t="s">
        <v>66</v>
      </c>
      <c r="D55" s="31">
        <f>D56</f>
        <v>16000</v>
      </c>
      <c r="E55" s="31"/>
      <c r="F55" s="17">
        <v>0</v>
      </c>
      <c r="G55" s="17"/>
      <c r="H55" s="17">
        <v>75000</v>
      </c>
      <c r="I55" s="17">
        <v>0</v>
      </c>
      <c r="J55" s="101">
        <f t="shared" si="6"/>
        <v>3360</v>
      </c>
      <c r="K55" s="100">
        <f t="shared" si="7"/>
        <v>19360</v>
      </c>
      <c r="L55" s="35"/>
    </row>
    <row r="56" spans="2:12" ht="15.75" x14ac:dyDescent="0.2">
      <c r="B56" s="28" t="s">
        <v>67</v>
      </c>
      <c r="C56" s="29" t="s">
        <v>61</v>
      </c>
      <c r="D56" s="33">
        <v>16000</v>
      </c>
      <c r="E56" s="33"/>
      <c r="F56" s="17">
        <v>0</v>
      </c>
      <c r="G56" s="30"/>
      <c r="H56" s="30">
        <v>75000</v>
      </c>
      <c r="I56" s="17">
        <v>0</v>
      </c>
      <c r="J56" s="101">
        <f t="shared" si="6"/>
        <v>3360</v>
      </c>
      <c r="K56" s="100">
        <f t="shared" si="7"/>
        <v>19360</v>
      </c>
      <c r="L56" s="34"/>
    </row>
    <row r="57" spans="2:12" ht="47.25" x14ac:dyDescent="0.2">
      <c r="B57" s="15">
        <v>4.4000000000000004</v>
      </c>
      <c r="C57" s="16" t="s">
        <v>68</v>
      </c>
      <c r="D57" s="17">
        <v>0</v>
      </c>
      <c r="E57" s="17"/>
      <c r="F57" s="17">
        <v>0</v>
      </c>
      <c r="G57" s="17"/>
      <c r="H57" s="17">
        <v>0</v>
      </c>
      <c r="I57" s="17">
        <v>0</v>
      </c>
      <c r="J57" s="101">
        <f t="shared" si="6"/>
        <v>0</v>
      </c>
      <c r="K57" s="100">
        <f t="shared" si="7"/>
        <v>0</v>
      </c>
      <c r="L57" s="18"/>
    </row>
    <row r="58" spans="2:12" ht="15.75" x14ac:dyDescent="0.2">
      <c r="B58" s="15">
        <v>4.5</v>
      </c>
      <c r="C58" s="16" t="s">
        <v>69</v>
      </c>
      <c r="D58" s="17">
        <v>0</v>
      </c>
      <c r="E58" s="17"/>
      <c r="F58" s="17">
        <v>0</v>
      </c>
      <c r="G58" s="17"/>
      <c r="H58" s="17">
        <v>0</v>
      </c>
      <c r="I58" s="17">
        <v>0</v>
      </c>
      <c r="J58" s="101">
        <f t="shared" si="6"/>
        <v>0</v>
      </c>
      <c r="K58" s="100">
        <f t="shared" si="7"/>
        <v>0</v>
      </c>
      <c r="L58" s="18"/>
    </row>
    <row r="59" spans="2:12" ht="15.75" x14ac:dyDescent="0.2">
      <c r="B59" s="15">
        <v>4.5999999999999996</v>
      </c>
      <c r="C59" s="16" t="s">
        <v>70</v>
      </c>
      <c r="D59" s="17">
        <v>0</v>
      </c>
      <c r="E59" s="17"/>
      <c r="F59" s="17">
        <v>0</v>
      </c>
      <c r="G59" s="17"/>
      <c r="H59" s="17">
        <v>0</v>
      </c>
      <c r="I59" s="17">
        <v>0</v>
      </c>
      <c r="J59" s="101">
        <f t="shared" si="6"/>
        <v>0</v>
      </c>
      <c r="K59" s="100">
        <f t="shared" si="7"/>
        <v>0</v>
      </c>
      <c r="L59" s="18"/>
    </row>
    <row r="60" spans="2:12" s="127" customFormat="1" ht="15.75" x14ac:dyDescent="0.2">
      <c r="B60" s="171" t="s">
        <v>71</v>
      </c>
      <c r="C60" s="172"/>
      <c r="D60" s="152">
        <f>D48+D53+D55+D57+D58+D59</f>
        <v>2003519.51</v>
      </c>
      <c r="E60" s="109"/>
      <c r="F60" s="110">
        <v>0</v>
      </c>
      <c r="G60" s="110"/>
      <c r="H60" s="110">
        <f>H48+H53+H55+H57+H58+H59</f>
        <v>2723850.73</v>
      </c>
      <c r="I60" s="110">
        <v>0</v>
      </c>
      <c r="J60" s="110">
        <f t="shared" si="6"/>
        <v>420739.09710000001</v>
      </c>
      <c r="K60" s="109">
        <f t="shared" si="7"/>
        <v>2424258.6071000001</v>
      </c>
      <c r="L60" s="111"/>
    </row>
    <row r="61" spans="2:12" ht="15.75" x14ac:dyDescent="0.2">
      <c r="B61" s="164" t="s">
        <v>104</v>
      </c>
      <c r="C61" s="165"/>
      <c r="D61" s="165"/>
      <c r="E61" s="165"/>
      <c r="F61" s="165"/>
      <c r="G61" s="165"/>
      <c r="H61" s="165"/>
      <c r="I61" s="165"/>
      <c r="J61" s="165"/>
      <c r="K61" s="165"/>
      <c r="L61" s="166"/>
    </row>
    <row r="62" spans="2:12" ht="15.75" x14ac:dyDescent="0.2">
      <c r="B62" s="15">
        <v>5.0999999999999996</v>
      </c>
      <c r="C62" s="16" t="s">
        <v>72</v>
      </c>
      <c r="D62" s="31">
        <v>0</v>
      </c>
      <c r="E62" s="31"/>
      <c r="F62" s="17">
        <v>0</v>
      </c>
      <c r="G62" s="17"/>
      <c r="H62" s="17">
        <v>60000</v>
      </c>
      <c r="I62" s="17">
        <f>D62*0.21</f>
        <v>0</v>
      </c>
      <c r="J62" s="17">
        <v>0</v>
      </c>
      <c r="K62" s="31">
        <f t="shared" ref="K62:K75" si="8">D62+F62+I62</f>
        <v>0</v>
      </c>
      <c r="L62" s="35"/>
    </row>
    <row r="63" spans="2:12" ht="31.5" x14ac:dyDescent="0.2">
      <c r="B63" s="19" t="s">
        <v>73</v>
      </c>
      <c r="C63" s="16" t="s">
        <v>74</v>
      </c>
      <c r="D63" s="31">
        <v>0</v>
      </c>
      <c r="E63" s="31"/>
      <c r="F63" s="17">
        <v>0</v>
      </c>
      <c r="G63" s="17"/>
      <c r="H63" s="17">
        <v>50000</v>
      </c>
      <c r="I63" s="17">
        <f>D63*0.21</f>
        <v>0</v>
      </c>
      <c r="J63" s="17">
        <v>0</v>
      </c>
      <c r="K63" s="31">
        <f t="shared" si="8"/>
        <v>0</v>
      </c>
      <c r="L63" s="35"/>
    </row>
    <row r="64" spans="2:12" ht="15.75" x14ac:dyDescent="0.2">
      <c r="B64" s="25" t="s">
        <v>75</v>
      </c>
      <c r="C64" s="21" t="s">
        <v>76</v>
      </c>
      <c r="D64" s="36">
        <v>0</v>
      </c>
      <c r="E64" s="36"/>
      <c r="F64" s="17">
        <v>0</v>
      </c>
      <c r="G64" s="22"/>
      <c r="H64" s="23">
        <v>10000</v>
      </c>
      <c r="I64" s="17">
        <f>D64*0.21</f>
        <v>0</v>
      </c>
      <c r="J64" s="17">
        <v>0</v>
      </c>
      <c r="K64" s="31">
        <f t="shared" si="8"/>
        <v>0</v>
      </c>
      <c r="L64" s="37"/>
    </row>
    <row r="65" spans="1:15" s="98" customFormat="1" ht="15.75" x14ac:dyDescent="0.2">
      <c r="B65" s="99">
        <v>5.2</v>
      </c>
      <c r="C65" s="50" t="s">
        <v>77</v>
      </c>
      <c r="D65" s="100">
        <f>D66+D67+D68+D69+D70</f>
        <v>21862.714610000003</v>
      </c>
      <c r="E65" s="100"/>
      <c r="F65" s="101">
        <v>0</v>
      </c>
      <c r="G65" s="101"/>
      <c r="H65" s="101">
        <v>26977.06</v>
      </c>
      <c r="I65" s="101">
        <f>I66+I67+I68+I69+I70</f>
        <v>0</v>
      </c>
      <c r="J65" s="101">
        <v>0</v>
      </c>
      <c r="K65" s="100">
        <f t="shared" si="8"/>
        <v>21862.714610000003</v>
      </c>
      <c r="L65" s="102"/>
    </row>
    <row r="66" spans="1:15" ht="31.5" x14ac:dyDescent="0.2">
      <c r="B66" s="19" t="s">
        <v>78</v>
      </c>
      <c r="C66" s="16" t="s">
        <v>79</v>
      </c>
      <c r="D66" s="17">
        <v>0</v>
      </c>
      <c r="E66" s="17"/>
      <c r="F66" s="17">
        <v>0</v>
      </c>
      <c r="G66" s="17"/>
      <c r="H66" s="17">
        <v>0</v>
      </c>
      <c r="I66" s="17">
        <f>D66*0.21</f>
        <v>0</v>
      </c>
      <c r="J66" s="17">
        <v>0</v>
      </c>
      <c r="K66" s="31">
        <f t="shared" si="8"/>
        <v>0</v>
      </c>
      <c r="L66" s="18"/>
    </row>
    <row r="67" spans="1:15" ht="31.5" x14ac:dyDescent="0.2">
      <c r="A67" s="98"/>
      <c r="B67" s="113" t="s">
        <v>80</v>
      </c>
      <c r="C67" s="50" t="s">
        <v>81</v>
      </c>
      <c r="D67" s="100">
        <f>D85*0.005</f>
        <v>9937.5975500000004</v>
      </c>
      <c r="E67" s="100"/>
      <c r="F67" s="101">
        <v>0</v>
      </c>
      <c r="G67" s="101"/>
      <c r="H67" s="101">
        <v>12262.3</v>
      </c>
      <c r="I67" s="101">
        <v>0</v>
      </c>
      <c r="J67" s="101">
        <v>0</v>
      </c>
      <c r="K67" s="100">
        <f t="shared" si="8"/>
        <v>9937.5975500000004</v>
      </c>
      <c r="L67" s="102"/>
      <c r="M67" s="98"/>
      <c r="N67" s="98"/>
    </row>
    <row r="68" spans="1:15" ht="47.25" x14ac:dyDescent="0.2">
      <c r="A68" s="98"/>
      <c r="B68" s="113" t="s">
        <v>82</v>
      </c>
      <c r="C68" s="50" t="s">
        <v>83</v>
      </c>
      <c r="D68" s="100">
        <f>D85*0.001</f>
        <v>1987.5195100000001</v>
      </c>
      <c r="E68" s="101"/>
      <c r="F68" s="101">
        <v>0</v>
      </c>
      <c r="G68" s="101"/>
      <c r="H68" s="101">
        <v>2452.46</v>
      </c>
      <c r="I68" s="101">
        <v>0</v>
      </c>
      <c r="J68" s="101">
        <v>0</v>
      </c>
      <c r="K68" s="100">
        <f t="shared" si="8"/>
        <v>1987.5195100000001</v>
      </c>
      <c r="L68" s="112"/>
      <c r="M68" s="98"/>
      <c r="N68" s="98"/>
    </row>
    <row r="69" spans="1:15" ht="31.5" x14ac:dyDescent="0.2">
      <c r="A69" s="98"/>
      <c r="B69" s="113" t="s">
        <v>84</v>
      </c>
      <c r="C69" s="50" t="s">
        <v>85</v>
      </c>
      <c r="D69" s="100">
        <f>D85*0.005</f>
        <v>9937.5975500000004</v>
      </c>
      <c r="E69" s="100"/>
      <c r="F69" s="101">
        <v>0</v>
      </c>
      <c r="G69" s="101"/>
      <c r="H69" s="101">
        <v>12262.3</v>
      </c>
      <c r="I69" s="101">
        <v>0</v>
      </c>
      <c r="J69" s="101">
        <v>0</v>
      </c>
      <c r="K69" s="100">
        <f t="shared" si="8"/>
        <v>9937.5975500000004</v>
      </c>
      <c r="L69" s="102"/>
      <c r="M69" s="98"/>
      <c r="N69" s="98"/>
    </row>
    <row r="70" spans="1:15" ht="31.5" x14ac:dyDescent="0.2">
      <c r="A70" s="98"/>
      <c r="B70" s="113" t="s">
        <v>86</v>
      </c>
      <c r="C70" s="50" t="s">
        <v>87</v>
      </c>
      <c r="D70" s="101">
        <v>0</v>
      </c>
      <c r="E70" s="101"/>
      <c r="F70" s="101">
        <v>0</v>
      </c>
      <c r="G70" s="101"/>
      <c r="H70" s="101">
        <v>0</v>
      </c>
      <c r="I70" s="101">
        <f>D70*0.21</f>
        <v>0</v>
      </c>
      <c r="J70" s="101">
        <v>0</v>
      </c>
      <c r="K70" s="100">
        <f t="shared" si="8"/>
        <v>0</v>
      </c>
      <c r="L70" s="112"/>
      <c r="M70" s="98"/>
      <c r="N70" s="98"/>
    </row>
    <row r="71" spans="1:15" ht="15.75" x14ac:dyDescent="0.2">
      <c r="B71" s="15">
        <v>5.3</v>
      </c>
      <c r="C71" s="16" t="s">
        <v>88</v>
      </c>
      <c r="D71" s="31">
        <v>301798.12</v>
      </c>
      <c r="E71" s="31"/>
      <c r="F71" s="17">
        <v>0</v>
      </c>
      <c r="G71" s="17"/>
      <c r="H71" s="17">
        <v>242302.81</v>
      </c>
      <c r="I71" s="17">
        <v>0</v>
      </c>
      <c r="J71" s="17">
        <f>D71*0.21</f>
        <v>63377.605199999998</v>
      </c>
      <c r="K71" s="31">
        <f t="shared" si="8"/>
        <v>301798.12</v>
      </c>
      <c r="L71" s="35"/>
    </row>
    <row r="72" spans="1:15" ht="15.75" x14ac:dyDescent="0.2">
      <c r="B72" s="15">
        <v>5.4</v>
      </c>
      <c r="C72" s="16" t="s">
        <v>89</v>
      </c>
      <c r="D72" s="31">
        <v>2000</v>
      </c>
      <c r="E72" s="17"/>
      <c r="F72" s="17">
        <v>0</v>
      </c>
      <c r="G72" s="17"/>
      <c r="H72" s="17">
        <v>2000</v>
      </c>
      <c r="I72" s="17">
        <f>I73+J74</f>
        <v>416.47899999999998</v>
      </c>
      <c r="J72" s="17">
        <v>0</v>
      </c>
      <c r="K72" s="31">
        <f t="shared" si="8"/>
        <v>2416.4789999999998</v>
      </c>
      <c r="L72" s="18"/>
    </row>
    <row r="73" spans="1:15" ht="31.5" x14ac:dyDescent="0.2">
      <c r="B73" s="143" t="s">
        <v>115</v>
      </c>
      <c r="C73" s="16" t="s">
        <v>117</v>
      </c>
      <c r="D73" s="31">
        <v>176.05</v>
      </c>
      <c r="E73" s="17"/>
      <c r="F73" s="17">
        <v>0</v>
      </c>
      <c r="G73" s="17"/>
      <c r="H73" s="17"/>
      <c r="I73" s="17">
        <f>D73*0.19</f>
        <v>33.4495</v>
      </c>
      <c r="J73" s="17">
        <v>0</v>
      </c>
      <c r="K73" s="31">
        <f>D73+I73</f>
        <v>209.49950000000001</v>
      </c>
      <c r="L73" s="18"/>
    </row>
    <row r="74" spans="1:15" ht="31.5" x14ac:dyDescent="0.2">
      <c r="B74" s="143" t="s">
        <v>116</v>
      </c>
      <c r="C74" s="16" t="s">
        <v>121</v>
      </c>
      <c r="D74" s="31">
        <v>1823.95</v>
      </c>
      <c r="E74" s="17"/>
      <c r="F74" s="17">
        <v>0</v>
      </c>
      <c r="G74" s="17"/>
      <c r="H74" s="17"/>
      <c r="I74" s="17">
        <v>0</v>
      </c>
      <c r="J74" s="17">
        <f>D74*0.21</f>
        <v>383.02949999999998</v>
      </c>
      <c r="K74" s="31">
        <f>D74*0.21</f>
        <v>383.02949999999998</v>
      </c>
      <c r="L74" s="18"/>
    </row>
    <row r="75" spans="1:15" s="127" customFormat="1" ht="15.75" x14ac:dyDescent="0.2">
      <c r="B75" s="171" t="s">
        <v>90</v>
      </c>
      <c r="C75" s="172"/>
      <c r="D75" s="109">
        <f>D62+D65+D71+D72</f>
        <v>325660.83461000002</v>
      </c>
      <c r="E75" s="109"/>
      <c r="F75" s="110">
        <v>0</v>
      </c>
      <c r="G75" s="110"/>
      <c r="H75" s="110">
        <f>H62+H65+H71+H72</f>
        <v>331279.87</v>
      </c>
      <c r="I75" s="110">
        <f>I73</f>
        <v>33.4495</v>
      </c>
      <c r="J75" s="110">
        <f>J71+J73+J74</f>
        <v>63760.634699999995</v>
      </c>
      <c r="K75" s="109">
        <f t="shared" si="8"/>
        <v>325694.28411000001</v>
      </c>
      <c r="L75" s="111"/>
    </row>
    <row r="76" spans="1:15" ht="15.75" x14ac:dyDescent="0.2">
      <c r="B76" s="164" t="s">
        <v>105</v>
      </c>
      <c r="C76" s="165"/>
      <c r="D76" s="165"/>
      <c r="E76" s="165"/>
      <c r="F76" s="165"/>
      <c r="G76" s="165"/>
      <c r="H76" s="165"/>
      <c r="I76" s="165"/>
      <c r="J76" s="165"/>
      <c r="K76" s="165"/>
      <c r="L76" s="166"/>
    </row>
    <row r="77" spans="1:15" ht="15.75" x14ac:dyDescent="0.2">
      <c r="B77" s="15">
        <v>6.1</v>
      </c>
      <c r="C77" s="16" t="s">
        <v>91</v>
      </c>
      <c r="D77" s="17">
        <v>0</v>
      </c>
      <c r="E77" s="17">
        <v>0</v>
      </c>
      <c r="F77" s="17">
        <v>0</v>
      </c>
      <c r="G77" s="17">
        <v>0</v>
      </c>
      <c r="H77" s="17"/>
      <c r="I77" s="17">
        <v>0</v>
      </c>
      <c r="J77" s="17"/>
      <c r="K77" s="17">
        <v>0</v>
      </c>
      <c r="L77" s="18">
        <v>0</v>
      </c>
    </row>
    <row r="78" spans="1:15" ht="15.75" x14ac:dyDescent="0.2">
      <c r="B78" s="15">
        <v>6.2</v>
      </c>
      <c r="C78" s="16" t="s">
        <v>92</v>
      </c>
      <c r="D78" s="17">
        <v>0</v>
      </c>
      <c r="E78" s="17">
        <v>0</v>
      </c>
      <c r="F78" s="17">
        <v>0</v>
      </c>
      <c r="G78" s="17">
        <v>0</v>
      </c>
      <c r="H78" s="17"/>
      <c r="I78" s="17">
        <v>0</v>
      </c>
      <c r="J78" s="17"/>
      <c r="K78" s="17">
        <v>0</v>
      </c>
      <c r="L78" s="18">
        <v>0</v>
      </c>
    </row>
    <row r="79" spans="1:15" ht="15.75" x14ac:dyDescent="0.2">
      <c r="A79" s="98"/>
      <c r="B79" s="171" t="s">
        <v>93</v>
      </c>
      <c r="C79" s="172"/>
      <c r="D79" s="110">
        <v>0</v>
      </c>
      <c r="E79" s="110">
        <v>0</v>
      </c>
      <c r="F79" s="110">
        <v>0</v>
      </c>
      <c r="G79" s="110">
        <v>0</v>
      </c>
      <c r="H79" s="110"/>
      <c r="I79" s="110">
        <v>0</v>
      </c>
      <c r="J79" s="110"/>
      <c r="K79" s="110">
        <v>0</v>
      </c>
      <c r="L79" s="120">
        <v>0</v>
      </c>
      <c r="M79" s="98"/>
      <c r="N79" s="98"/>
      <c r="O79" s="98"/>
    </row>
    <row r="80" spans="1:15" ht="15.75" x14ac:dyDescent="0.2">
      <c r="A80" s="98"/>
      <c r="B80" s="192" t="s">
        <v>111</v>
      </c>
      <c r="C80" s="193"/>
      <c r="D80" s="193"/>
      <c r="E80" s="193"/>
      <c r="F80" s="193"/>
      <c r="G80" s="193"/>
      <c r="H80" s="193"/>
      <c r="I80" s="193"/>
      <c r="J80" s="193"/>
      <c r="K80" s="193"/>
      <c r="L80" s="194"/>
      <c r="M80" s="98"/>
      <c r="N80" s="98"/>
      <c r="O80" s="98"/>
    </row>
    <row r="81" spans="1:15" ht="15.75" x14ac:dyDescent="0.2">
      <c r="A81" s="98"/>
      <c r="B81" s="99">
        <v>7.1</v>
      </c>
      <c r="C81" s="50" t="s">
        <v>94</v>
      </c>
      <c r="D81" s="101">
        <v>0</v>
      </c>
      <c r="E81" s="101">
        <v>0</v>
      </c>
      <c r="F81" s="100">
        <v>0</v>
      </c>
      <c r="G81" s="100">
        <v>60758.96</v>
      </c>
      <c r="H81" s="100">
        <v>60758.96</v>
      </c>
      <c r="I81" s="101">
        <f>F81*0.21</f>
        <v>0</v>
      </c>
      <c r="J81" s="101"/>
      <c r="K81" s="100">
        <f t="shared" ref="K81" si="9">D81+F81+I81</f>
        <v>0</v>
      </c>
      <c r="L81" s="102"/>
      <c r="M81" s="98"/>
      <c r="N81" s="98"/>
      <c r="O81" s="98"/>
    </row>
    <row r="82" spans="1:15" ht="31.5" x14ac:dyDescent="0.2">
      <c r="A82" s="98"/>
      <c r="B82" s="99">
        <v>7.2</v>
      </c>
      <c r="C82" s="50" t="s">
        <v>95</v>
      </c>
      <c r="D82" s="101">
        <v>0</v>
      </c>
      <c r="E82" s="101">
        <v>0</v>
      </c>
      <c r="F82" s="100">
        <v>137992.24</v>
      </c>
      <c r="G82" s="100">
        <v>88900.28</v>
      </c>
      <c r="H82" s="100">
        <v>88900.28</v>
      </c>
      <c r="I82" s="101">
        <v>0</v>
      </c>
      <c r="J82" s="101">
        <f>F82*0.21</f>
        <v>28978.370399999996</v>
      </c>
      <c r="K82" s="100">
        <f>F82+J82</f>
        <v>166970.61039999998</v>
      </c>
      <c r="L82" s="102"/>
      <c r="M82" s="98"/>
      <c r="N82" s="98"/>
      <c r="O82" s="98"/>
    </row>
    <row r="83" spans="1:15" ht="15.75" x14ac:dyDescent="0.2">
      <c r="A83" s="98"/>
      <c r="B83" s="171" t="s">
        <v>96</v>
      </c>
      <c r="C83" s="172"/>
      <c r="D83" s="110">
        <f>D81+D82</f>
        <v>0</v>
      </c>
      <c r="E83" s="110">
        <v>0</v>
      </c>
      <c r="F83" s="110">
        <f>F81+F82</f>
        <v>137992.24</v>
      </c>
      <c r="G83" s="110">
        <f t="shared" ref="G83:H83" si="10">G81+G82</f>
        <v>149659.24</v>
      </c>
      <c r="H83" s="110">
        <f t="shared" si="10"/>
        <v>149659.24</v>
      </c>
      <c r="I83" s="110">
        <f>I81+I82</f>
        <v>0</v>
      </c>
      <c r="J83" s="101">
        <f>F83*0.21</f>
        <v>28978.370399999996</v>
      </c>
      <c r="K83" s="100">
        <f>F83+J83</f>
        <v>166970.61039999998</v>
      </c>
      <c r="L83" s="111"/>
      <c r="M83" s="98"/>
      <c r="N83" s="98"/>
      <c r="O83" s="98"/>
    </row>
    <row r="84" spans="1:15" ht="15.75" x14ac:dyDescent="0.2">
      <c r="A84" s="98"/>
      <c r="B84" s="169" t="s">
        <v>98</v>
      </c>
      <c r="C84" s="170"/>
      <c r="D84" s="92">
        <f>D15+D18+D46+D60+D75+D79+D83</f>
        <v>2409603.7012766665</v>
      </c>
      <c r="E84" s="92">
        <f>E15+E18+E46+E60+E75+E79+E83</f>
        <v>0</v>
      </c>
      <c r="F84" s="92">
        <f>F15+F18+F46+F60+F75+F79+F83</f>
        <v>148825.56999999998</v>
      </c>
      <c r="G84" s="92">
        <f>G15+G18+G46+G60+G75+G79+G83</f>
        <v>149659.24</v>
      </c>
      <c r="H84" s="92">
        <f>H15+H18+H46+H60+H75+H79+H83</f>
        <v>3296604.0200000005</v>
      </c>
      <c r="I84" s="92">
        <f>I15+I18+I46+I60+I75+I79+I83</f>
        <v>11037.300766666664</v>
      </c>
      <c r="J84" s="92">
        <f>J83+J75+J60+J46</f>
        <v>520479.85500000004</v>
      </c>
      <c r="K84" s="121">
        <f>D84+F84+I84+J84</f>
        <v>3089946.4270433332</v>
      </c>
      <c r="L84" s="122"/>
      <c r="M84" s="98"/>
      <c r="N84" s="98"/>
      <c r="O84" s="98"/>
    </row>
    <row r="85" spans="1:15" ht="15.75" x14ac:dyDescent="0.2">
      <c r="A85" s="98"/>
      <c r="B85" s="171" t="s">
        <v>97</v>
      </c>
      <c r="C85" s="172"/>
      <c r="D85" s="110">
        <f>D15+D18+D48+D53+D63</f>
        <v>1987519.51</v>
      </c>
      <c r="E85" s="110">
        <f>E15+E18+E48+E53+E63</f>
        <v>0</v>
      </c>
      <c r="F85" s="110">
        <f>F15+F18+F48+F53+F63</f>
        <v>0</v>
      </c>
      <c r="G85" s="110">
        <f>G15+G18+G48+G53+G63</f>
        <v>0</v>
      </c>
      <c r="H85" s="110">
        <f>H15+H18+H48+H53+H63</f>
        <v>2698850.73</v>
      </c>
      <c r="I85" s="110">
        <v>0</v>
      </c>
      <c r="J85" s="110">
        <f>D85*0.21</f>
        <v>417379.09710000001</v>
      </c>
      <c r="K85" s="110">
        <f>D85+F85+I85</f>
        <v>1987519.51</v>
      </c>
      <c r="L85" s="111"/>
      <c r="M85" s="98"/>
      <c r="N85" s="98"/>
      <c r="O85" s="98"/>
    </row>
    <row r="86" spans="1:15" x14ac:dyDescent="0.2">
      <c r="A86" s="98"/>
      <c r="B86" s="3"/>
      <c r="C86" s="3"/>
      <c r="D86" s="123"/>
      <c r="E86" s="123"/>
      <c r="F86" s="123"/>
      <c r="G86" s="123"/>
      <c r="H86" s="123"/>
      <c r="I86" s="123"/>
      <c r="J86" s="123"/>
      <c r="K86" s="123"/>
      <c r="L86" s="124"/>
      <c r="M86" s="98"/>
      <c r="N86" s="98"/>
      <c r="O86" s="98"/>
    </row>
    <row r="87" spans="1:15" x14ac:dyDescent="0.2">
      <c r="A87" s="98"/>
      <c r="B87" s="3"/>
      <c r="C87" s="3"/>
      <c r="D87" s="123"/>
      <c r="E87" s="123"/>
      <c r="F87" s="123"/>
      <c r="G87" s="123"/>
      <c r="H87" s="123"/>
      <c r="I87" s="123"/>
      <c r="J87" s="123"/>
      <c r="K87" s="123"/>
      <c r="L87" s="124"/>
      <c r="M87" s="98"/>
      <c r="N87" s="98"/>
      <c r="O87" s="98"/>
    </row>
    <row r="88" spans="1:15" x14ac:dyDescent="0.2">
      <c r="A88" s="98"/>
      <c r="B88" s="3"/>
      <c r="C88" s="3"/>
      <c r="D88" s="123"/>
      <c r="E88" s="123"/>
      <c r="F88" s="123"/>
      <c r="G88" s="123"/>
      <c r="H88" s="123"/>
      <c r="I88" s="123"/>
      <c r="J88" s="123"/>
      <c r="K88" s="123"/>
      <c r="L88" s="124"/>
      <c r="M88" s="98"/>
      <c r="N88" s="98"/>
      <c r="O88" s="98"/>
    </row>
    <row r="89" spans="1:15" s="86" customFormat="1" ht="15.75" x14ac:dyDescent="0.25">
      <c r="B89" s="173"/>
      <c r="C89" s="173"/>
      <c r="D89" s="173"/>
      <c r="E89" s="173"/>
      <c r="F89" s="173"/>
      <c r="G89" s="173"/>
      <c r="H89" s="173"/>
      <c r="I89" s="173"/>
      <c r="J89" s="173"/>
      <c r="K89" s="173"/>
      <c r="L89" s="173"/>
    </row>
    <row r="90" spans="1:15" ht="15.75" x14ac:dyDescent="0.25">
      <c r="B90" s="2"/>
      <c r="C90" s="163" t="s">
        <v>148</v>
      </c>
      <c r="D90" s="205"/>
      <c r="E90" s="205"/>
      <c r="F90" s="205"/>
      <c r="G90" s="205"/>
      <c r="H90" s="205"/>
      <c r="I90" s="205" t="s">
        <v>134</v>
      </c>
      <c r="J90" s="205"/>
      <c r="K90" s="2"/>
      <c r="L90" s="2"/>
    </row>
    <row r="91" spans="1:15" ht="15.75" x14ac:dyDescent="0.2">
      <c r="C91" s="207" t="s">
        <v>147</v>
      </c>
      <c r="D91" s="85"/>
      <c r="E91" s="85"/>
      <c r="F91" s="208" t="s">
        <v>149</v>
      </c>
      <c r="G91" s="208"/>
      <c r="H91" s="208"/>
      <c r="I91" s="208"/>
      <c r="J91" s="208"/>
    </row>
  </sheetData>
  <mergeCells count="25">
    <mergeCell ref="F91:J91"/>
    <mergeCell ref="B5:L5"/>
    <mergeCell ref="B6:B7"/>
    <mergeCell ref="C6:C7"/>
    <mergeCell ref="D6:E6"/>
    <mergeCell ref="F6:G6"/>
    <mergeCell ref="K6:L6"/>
    <mergeCell ref="I6:J6"/>
    <mergeCell ref="B79:C79"/>
    <mergeCell ref="B10:L10"/>
    <mergeCell ref="B15:C15"/>
    <mergeCell ref="B17:L17"/>
    <mergeCell ref="B18:C18"/>
    <mergeCell ref="B19:L19"/>
    <mergeCell ref="B46:C46"/>
    <mergeCell ref="B47:L47"/>
    <mergeCell ref="B60:C60"/>
    <mergeCell ref="B61:L61"/>
    <mergeCell ref="B75:C75"/>
    <mergeCell ref="B76:L76"/>
    <mergeCell ref="B80:L80"/>
    <mergeCell ref="B83:C83"/>
    <mergeCell ref="B84:C84"/>
    <mergeCell ref="B85:C85"/>
    <mergeCell ref="B89:L8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EA09F-AA89-4EE3-89A4-BFF62C94C68E}">
  <sheetPr>
    <tabColor rgb="FF92D050"/>
  </sheetPr>
  <dimension ref="A3:O91"/>
  <sheetViews>
    <sheetView workbookViewId="0">
      <selection activeCell="C90" sqref="C90:J91"/>
    </sheetView>
  </sheetViews>
  <sheetFormatPr defaultRowHeight="12.75" x14ac:dyDescent="0.2"/>
  <cols>
    <col min="3" max="3" width="52.83203125" customWidth="1"/>
    <col min="4" max="4" width="17.6640625" customWidth="1"/>
    <col min="5" max="5" width="6.5" hidden="1" customWidth="1"/>
    <col min="6" max="6" width="18.5" customWidth="1"/>
    <col min="7" max="8" width="0" hidden="1" customWidth="1"/>
    <col min="9" max="10" width="16.6640625" customWidth="1"/>
    <col min="11" max="11" width="17.83203125" customWidth="1"/>
    <col min="12" max="12" width="0" hidden="1" customWidth="1"/>
  </cols>
  <sheetData>
    <row r="3" spans="2:12" ht="15.75" x14ac:dyDescent="0.2"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2:12" ht="15.75" x14ac:dyDescent="0.2"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</row>
    <row r="5" spans="2:12" ht="95.25" customHeight="1" x14ac:dyDescent="0.2">
      <c r="B5" s="203" t="s">
        <v>141</v>
      </c>
      <c r="C5" s="204"/>
      <c r="D5" s="204"/>
      <c r="E5" s="204"/>
      <c r="F5" s="204"/>
      <c r="G5" s="204"/>
      <c r="H5" s="204"/>
      <c r="I5" s="204"/>
      <c r="J5" s="204"/>
      <c r="K5" s="204"/>
      <c r="L5" s="204"/>
    </row>
    <row r="6" spans="2:12" ht="78.75" x14ac:dyDescent="0.2">
      <c r="B6" s="177" t="s">
        <v>0</v>
      </c>
      <c r="C6" s="179" t="s">
        <v>1</v>
      </c>
      <c r="D6" s="181" t="s">
        <v>2</v>
      </c>
      <c r="E6" s="182"/>
      <c r="F6" s="181" t="s">
        <v>3</v>
      </c>
      <c r="G6" s="182"/>
      <c r="H6" s="42" t="s">
        <v>100</v>
      </c>
      <c r="I6" s="200" t="s">
        <v>4</v>
      </c>
      <c r="J6" s="184"/>
      <c r="K6" s="201" t="s">
        <v>5</v>
      </c>
      <c r="L6" s="183"/>
    </row>
    <row r="7" spans="2:12" ht="15.75" x14ac:dyDescent="0.2">
      <c r="B7" s="178"/>
      <c r="C7" s="180"/>
      <c r="D7" s="44" t="s">
        <v>6</v>
      </c>
      <c r="E7" s="44" t="s">
        <v>7</v>
      </c>
      <c r="F7" s="44" t="s">
        <v>6</v>
      </c>
      <c r="G7" s="44" t="s">
        <v>7</v>
      </c>
      <c r="H7" s="44" t="s">
        <v>6</v>
      </c>
      <c r="I7" s="131" t="s">
        <v>118</v>
      </c>
      <c r="J7" s="128" t="s">
        <v>125</v>
      </c>
      <c r="K7" s="128" t="s">
        <v>6</v>
      </c>
      <c r="L7" s="140" t="s">
        <v>7</v>
      </c>
    </row>
    <row r="8" spans="2:12" ht="15.75" x14ac:dyDescent="0.2">
      <c r="B8" s="45">
        <v>1</v>
      </c>
      <c r="C8" s="46">
        <v>2</v>
      </c>
      <c r="D8" s="46">
        <v>3</v>
      </c>
      <c r="E8" s="46">
        <v>4</v>
      </c>
      <c r="F8" s="46">
        <v>4</v>
      </c>
      <c r="G8" s="46">
        <v>6</v>
      </c>
      <c r="H8" s="46">
        <v>5</v>
      </c>
      <c r="I8" s="137">
        <v>5</v>
      </c>
      <c r="J8" s="139">
        <v>6</v>
      </c>
      <c r="K8" s="139">
        <v>7</v>
      </c>
      <c r="L8" s="141">
        <v>9</v>
      </c>
    </row>
    <row r="9" spans="2:12" ht="15.75" x14ac:dyDescent="0.25"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</row>
    <row r="10" spans="2:12" ht="15.75" x14ac:dyDescent="0.2">
      <c r="B10" s="174" t="s">
        <v>107</v>
      </c>
      <c r="C10" s="175"/>
      <c r="D10" s="175"/>
      <c r="E10" s="175"/>
      <c r="F10" s="175"/>
      <c r="G10" s="175"/>
      <c r="H10" s="175"/>
      <c r="I10" s="175"/>
      <c r="J10" s="175"/>
      <c r="K10" s="175"/>
      <c r="L10" s="176"/>
    </row>
    <row r="11" spans="2:12" ht="15.75" x14ac:dyDescent="0.2">
      <c r="B11" s="49">
        <v>1.1000000000000001</v>
      </c>
      <c r="C11" s="50" t="s">
        <v>8</v>
      </c>
      <c r="D11" s="51">
        <v>0</v>
      </c>
      <c r="E11" s="51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2">
        <v>0</v>
      </c>
    </row>
    <row r="12" spans="2:12" ht="15.75" x14ac:dyDescent="0.2">
      <c r="B12" s="49">
        <v>1.2</v>
      </c>
      <c r="C12" s="50" t="s">
        <v>9</v>
      </c>
      <c r="D12" s="51">
        <v>0</v>
      </c>
      <c r="E12" s="51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2">
        <v>0</v>
      </c>
    </row>
    <row r="13" spans="2:12" ht="31.5" x14ac:dyDescent="0.2">
      <c r="B13" s="49">
        <v>1.3</v>
      </c>
      <c r="C13" s="50" t="s">
        <v>10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2">
        <v>0</v>
      </c>
    </row>
    <row r="14" spans="2:12" ht="15.75" x14ac:dyDescent="0.2">
      <c r="B14" s="49">
        <v>1.4</v>
      </c>
      <c r="C14" s="50" t="s">
        <v>11</v>
      </c>
      <c r="D14" s="51">
        <v>0</v>
      </c>
      <c r="E14" s="51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2">
        <v>0</v>
      </c>
    </row>
    <row r="15" spans="2:12" ht="15.75" x14ac:dyDescent="0.2">
      <c r="B15" s="171" t="s">
        <v>12</v>
      </c>
      <c r="C15" s="172"/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4">
        <v>0</v>
      </c>
    </row>
    <row r="16" spans="2:12" ht="15.75" x14ac:dyDescent="0.25"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</row>
    <row r="17" spans="2:12" ht="15.75" x14ac:dyDescent="0.2">
      <c r="B17" s="174" t="s">
        <v>102</v>
      </c>
      <c r="C17" s="175"/>
      <c r="D17" s="175"/>
      <c r="E17" s="175"/>
      <c r="F17" s="175"/>
      <c r="G17" s="175"/>
      <c r="H17" s="175"/>
      <c r="I17" s="175"/>
      <c r="J17" s="175"/>
      <c r="K17" s="175"/>
      <c r="L17" s="176"/>
    </row>
    <row r="18" spans="2:12" ht="15.75" x14ac:dyDescent="0.2">
      <c r="B18" s="171" t="s">
        <v>13</v>
      </c>
      <c r="C18" s="172"/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4">
        <v>0</v>
      </c>
    </row>
    <row r="19" spans="2:12" ht="15.75" x14ac:dyDescent="0.2">
      <c r="B19" s="174" t="s">
        <v>130</v>
      </c>
      <c r="C19" s="175"/>
      <c r="D19" s="175"/>
      <c r="E19" s="175"/>
      <c r="F19" s="175"/>
      <c r="G19" s="175"/>
      <c r="H19" s="175"/>
      <c r="I19" s="175"/>
      <c r="J19" s="175"/>
      <c r="K19" s="175"/>
      <c r="L19" s="176"/>
    </row>
    <row r="20" spans="2:12" ht="15.75" x14ac:dyDescent="0.2">
      <c r="B20" s="15">
        <v>3.1</v>
      </c>
      <c r="C20" s="16" t="s">
        <v>14</v>
      </c>
      <c r="D20" s="17">
        <v>1666.67</v>
      </c>
      <c r="E20" s="17"/>
      <c r="F20" s="17">
        <v>0</v>
      </c>
      <c r="G20" s="17">
        <v>0</v>
      </c>
      <c r="H20" s="17">
        <v>1666.67</v>
      </c>
      <c r="I20" s="17">
        <f t="shared" ref="I20:I25" si="0">D20*0.19</f>
        <v>316.66730000000001</v>
      </c>
      <c r="J20" s="17">
        <v>0</v>
      </c>
      <c r="K20" s="17">
        <f t="shared" ref="K20:K25" si="1">D20+F20+I20</f>
        <v>1983.3373000000001</v>
      </c>
      <c r="L20" s="18"/>
    </row>
    <row r="21" spans="2:12" ht="15.75" x14ac:dyDescent="0.2">
      <c r="B21" s="19" t="s">
        <v>15</v>
      </c>
      <c r="C21" s="16" t="s">
        <v>16</v>
      </c>
      <c r="D21" s="17">
        <v>1666.67</v>
      </c>
      <c r="E21" s="17"/>
      <c r="F21" s="17">
        <v>0</v>
      </c>
      <c r="G21" s="17">
        <v>0</v>
      </c>
      <c r="H21" s="17">
        <v>1666.67</v>
      </c>
      <c r="I21" s="17">
        <f t="shared" si="0"/>
        <v>316.66730000000001</v>
      </c>
      <c r="J21" s="17">
        <v>0</v>
      </c>
      <c r="K21" s="17">
        <f t="shared" si="1"/>
        <v>1983.3373000000001</v>
      </c>
      <c r="L21" s="18"/>
    </row>
    <row r="22" spans="2:12" ht="15.75" x14ac:dyDescent="0.2">
      <c r="B22" s="19" t="s">
        <v>17</v>
      </c>
      <c r="C22" s="16" t="s">
        <v>18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f t="shared" si="0"/>
        <v>0</v>
      </c>
      <c r="J22" s="17">
        <v>0</v>
      </c>
      <c r="K22" s="17">
        <f t="shared" si="1"/>
        <v>0</v>
      </c>
      <c r="L22" s="18">
        <v>0</v>
      </c>
    </row>
    <row r="23" spans="2:12" ht="15.75" x14ac:dyDescent="0.2">
      <c r="B23" s="19" t="s">
        <v>19</v>
      </c>
      <c r="C23" s="16" t="s">
        <v>20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f t="shared" si="0"/>
        <v>0</v>
      </c>
      <c r="J23" s="17">
        <v>0</v>
      </c>
      <c r="K23" s="17">
        <f t="shared" si="1"/>
        <v>0</v>
      </c>
      <c r="L23" s="18">
        <v>0</v>
      </c>
    </row>
    <row r="24" spans="2:12" ht="31.5" x14ac:dyDescent="0.2">
      <c r="B24" s="20">
        <v>3.2</v>
      </c>
      <c r="C24" s="21" t="s">
        <v>21</v>
      </c>
      <c r="D24" s="22">
        <v>166.66666666666666</v>
      </c>
      <c r="E24" s="22"/>
      <c r="F24" s="22">
        <v>0</v>
      </c>
      <c r="G24" s="22">
        <v>0</v>
      </c>
      <c r="H24" s="23">
        <v>166.67</v>
      </c>
      <c r="I24" s="17">
        <f t="shared" si="0"/>
        <v>31.666666666666664</v>
      </c>
      <c r="J24" s="17">
        <v>0</v>
      </c>
      <c r="K24" s="17">
        <f t="shared" si="1"/>
        <v>198.33333333333331</v>
      </c>
      <c r="L24" s="24"/>
    </row>
    <row r="25" spans="2:12" ht="15.75" x14ac:dyDescent="0.2">
      <c r="B25" s="15">
        <v>3.3</v>
      </c>
      <c r="C25" s="16" t="s">
        <v>22</v>
      </c>
      <c r="D25" s="17">
        <v>1250</v>
      </c>
      <c r="E25" s="17"/>
      <c r="F25" s="17">
        <v>0</v>
      </c>
      <c r="G25" s="17">
        <v>0</v>
      </c>
      <c r="H25" s="17">
        <v>1250</v>
      </c>
      <c r="I25" s="17">
        <f t="shared" si="0"/>
        <v>237.5</v>
      </c>
      <c r="J25" s="17">
        <v>0</v>
      </c>
      <c r="K25" s="17">
        <f t="shared" si="1"/>
        <v>1487.5</v>
      </c>
      <c r="L25" s="18"/>
    </row>
    <row r="26" spans="2:12" ht="31.5" x14ac:dyDescent="0.2">
      <c r="B26" s="15">
        <v>3.4</v>
      </c>
      <c r="C26" s="16" t="s">
        <v>23</v>
      </c>
      <c r="D26" s="17">
        <f>D27+D28</f>
        <v>4666.67</v>
      </c>
      <c r="E26" s="17"/>
      <c r="F26" s="17">
        <v>0</v>
      </c>
      <c r="G26" s="17">
        <v>0</v>
      </c>
      <c r="H26" s="17">
        <v>2000</v>
      </c>
      <c r="I26" s="17">
        <f>I27+J28</f>
        <v>966.66729999999995</v>
      </c>
      <c r="J26" s="17"/>
      <c r="K26" s="17">
        <f>K27+K28</f>
        <v>5633.3373000000001</v>
      </c>
      <c r="L26" s="18"/>
    </row>
    <row r="27" spans="2:12" ht="31.5" x14ac:dyDescent="0.2">
      <c r="B27" s="15" t="s">
        <v>113</v>
      </c>
      <c r="C27" s="16" t="s">
        <v>119</v>
      </c>
      <c r="D27" s="16">
        <v>666.67</v>
      </c>
      <c r="E27" s="17"/>
      <c r="F27" s="17">
        <v>0</v>
      </c>
      <c r="G27" s="17"/>
      <c r="H27" s="17"/>
      <c r="I27" s="17">
        <f>D27*0.19</f>
        <v>126.6673</v>
      </c>
      <c r="J27" s="17">
        <v>0</v>
      </c>
      <c r="K27" s="17">
        <f>D27+F27+I27</f>
        <v>793.33729999999991</v>
      </c>
      <c r="L27" s="18"/>
    </row>
    <row r="28" spans="2:12" ht="31.5" x14ac:dyDescent="0.2">
      <c r="B28" s="15" t="s">
        <v>114</v>
      </c>
      <c r="C28" s="16" t="s">
        <v>120</v>
      </c>
      <c r="D28" s="17">
        <v>4000</v>
      </c>
      <c r="E28" s="17"/>
      <c r="F28" s="17">
        <v>0</v>
      </c>
      <c r="G28" s="17"/>
      <c r="H28" s="17"/>
      <c r="I28" s="17">
        <v>0</v>
      </c>
      <c r="J28" s="17">
        <f>D28*0.21</f>
        <v>840</v>
      </c>
      <c r="K28" s="17">
        <f>+D28+F28+I28+J28</f>
        <v>4840</v>
      </c>
      <c r="L28" s="18"/>
    </row>
    <row r="29" spans="2:12" ht="15.75" x14ac:dyDescent="0.2">
      <c r="B29" s="15">
        <v>3.5</v>
      </c>
      <c r="C29" s="16" t="s">
        <v>24</v>
      </c>
      <c r="D29" s="17">
        <f>D30+D31+D32+D33+D34+D35</f>
        <v>48331.67</v>
      </c>
      <c r="E29" s="17"/>
      <c r="F29" s="17">
        <v>0</v>
      </c>
      <c r="G29" s="17">
        <v>0</v>
      </c>
      <c r="H29" s="17">
        <v>48164.17</v>
      </c>
      <c r="I29" s="17">
        <f t="shared" ref="I29:I35" si="2">D29*0.19</f>
        <v>9183.0172999999995</v>
      </c>
      <c r="J29" s="17">
        <v>0</v>
      </c>
      <c r="K29" s="17">
        <f t="shared" ref="K29:K36" si="3">D29+F29+I29</f>
        <v>57514.687299999998</v>
      </c>
      <c r="L29" s="18"/>
    </row>
    <row r="30" spans="2:12" ht="15.75" x14ac:dyDescent="0.2">
      <c r="B30" s="19" t="s">
        <v>25</v>
      </c>
      <c r="C30" s="16" t="s">
        <v>26</v>
      </c>
      <c r="D30" s="17">
        <v>0</v>
      </c>
      <c r="E30" s="17"/>
      <c r="F30" s="17">
        <v>0</v>
      </c>
      <c r="G30" s="17">
        <v>0</v>
      </c>
      <c r="H30" s="17">
        <v>0</v>
      </c>
      <c r="I30" s="17">
        <f t="shared" si="2"/>
        <v>0</v>
      </c>
      <c r="J30" s="17">
        <v>0</v>
      </c>
      <c r="K30" s="17">
        <f t="shared" si="3"/>
        <v>0</v>
      </c>
      <c r="L30" s="18"/>
    </row>
    <row r="31" spans="2:12" ht="15.75" x14ac:dyDescent="0.2">
      <c r="B31" s="19" t="s">
        <v>27</v>
      </c>
      <c r="C31" s="16" t="s">
        <v>28</v>
      </c>
      <c r="D31" s="17">
        <v>0</v>
      </c>
      <c r="E31" s="17"/>
      <c r="F31" s="17">
        <v>0</v>
      </c>
      <c r="G31" s="17">
        <v>0</v>
      </c>
      <c r="H31" s="17">
        <v>0</v>
      </c>
      <c r="I31" s="17">
        <f t="shared" si="2"/>
        <v>0</v>
      </c>
      <c r="J31" s="17">
        <v>0</v>
      </c>
      <c r="K31" s="17">
        <f t="shared" si="3"/>
        <v>0</v>
      </c>
      <c r="L31" s="18"/>
    </row>
    <row r="32" spans="2:12" ht="31.5" x14ac:dyDescent="0.2">
      <c r="B32" s="19" t="s">
        <v>29</v>
      </c>
      <c r="C32" s="16" t="s">
        <v>30</v>
      </c>
      <c r="D32" s="17">
        <v>5000</v>
      </c>
      <c r="E32" s="17"/>
      <c r="F32" s="17">
        <v>0</v>
      </c>
      <c r="G32" s="17">
        <v>0</v>
      </c>
      <c r="H32" s="17">
        <v>5000</v>
      </c>
      <c r="I32" s="17">
        <f t="shared" si="2"/>
        <v>950</v>
      </c>
      <c r="J32" s="17">
        <v>0</v>
      </c>
      <c r="K32" s="17">
        <f t="shared" si="3"/>
        <v>5950</v>
      </c>
      <c r="L32" s="18"/>
    </row>
    <row r="33" spans="2:12" ht="31.5" x14ac:dyDescent="0.2">
      <c r="B33" s="19" t="s">
        <v>31</v>
      </c>
      <c r="C33" s="16" t="s">
        <v>32</v>
      </c>
      <c r="D33" s="53">
        <v>166.67</v>
      </c>
      <c r="E33" s="53"/>
      <c r="F33" s="53">
        <v>0</v>
      </c>
      <c r="G33" s="53"/>
      <c r="H33" s="53">
        <v>1500</v>
      </c>
      <c r="I33" s="53">
        <f t="shared" si="2"/>
        <v>31.667299999999997</v>
      </c>
      <c r="J33" s="53">
        <v>0</v>
      </c>
      <c r="K33" s="53">
        <f t="shared" si="3"/>
        <v>198.33729999999997</v>
      </c>
      <c r="L33" s="54"/>
    </row>
    <row r="34" spans="2:12" ht="31.5" x14ac:dyDescent="0.2">
      <c r="B34" s="19" t="s">
        <v>33</v>
      </c>
      <c r="C34" s="16" t="s">
        <v>34</v>
      </c>
      <c r="D34" s="17">
        <v>5500.83</v>
      </c>
      <c r="E34" s="17"/>
      <c r="F34" s="17">
        <v>0</v>
      </c>
      <c r="G34" s="17"/>
      <c r="H34" s="17">
        <v>5500</v>
      </c>
      <c r="I34" s="17">
        <f t="shared" si="2"/>
        <v>1045.1577</v>
      </c>
      <c r="J34" s="17">
        <v>0</v>
      </c>
      <c r="K34" s="17">
        <f t="shared" si="3"/>
        <v>6545.9876999999997</v>
      </c>
      <c r="L34" s="18"/>
    </row>
    <row r="35" spans="2:12" ht="15.75" x14ac:dyDescent="0.2">
      <c r="B35" s="19" t="s">
        <v>35</v>
      </c>
      <c r="C35" s="16" t="s">
        <v>36</v>
      </c>
      <c r="D35" s="17">
        <v>37664.17</v>
      </c>
      <c r="E35" s="17"/>
      <c r="F35" s="17">
        <v>0</v>
      </c>
      <c r="G35" s="17"/>
      <c r="H35" s="17">
        <v>36164.17</v>
      </c>
      <c r="I35" s="17">
        <f t="shared" si="2"/>
        <v>7156.1922999999997</v>
      </c>
      <c r="J35" s="17">
        <v>0</v>
      </c>
      <c r="K35" s="17">
        <f t="shared" si="3"/>
        <v>44820.362300000001</v>
      </c>
      <c r="L35" s="18"/>
    </row>
    <row r="36" spans="2:12" ht="15.75" x14ac:dyDescent="0.2">
      <c r="B36" s="15">
        <v>3.6</v>
      </c>
      <c r="C36" s="16" t="s">
        <v>37</v>
      </c>
      <c r="D36" s="17">
        <v>0</v>
      </c>
      <c r="E36" s="17"/>
      <c r="F36" s="17">
        <v>5833.33</v>
      </c>
      <c r="G36" s="17"/>
      <c r="H36" s="17">
        <v>6000</v>
      </c>
      <c r="I36" s="17">
        <f>(D36+F36)*0.19</f>
        <v>1108.3326999999999</v>
      </c>
      <c r="J36" s="17">
        <v>0</v>
      </c>
      <c r="K36" s="17">
        <f t="shared" si="3"/>
        <v>6941.6626999999999</v>
      </c>
      <c r="L36" s="18"/>
    </row>
    <row r="37" spans="2:12" ht="15.75" x14ac:dyDescent="0.2">
      <c r="B37" s="15">
        <v>3.7</v>
      </c>
      <c r="C37" s="16" t="s">
        <v>38</v>
      </c>
      <c r="D37" s="17">
        <v>0</v>
      </c>
      <c r="E37" s="17"/>
      <c r="F37" s="17">
        <v>5000</v>
      </c>
      <c r="G37" s="17"/>
      <c r="H37" s="17">
        <v>5000</v>
      </c>
      <c r="I37" s="17">
        <v>0</v>
      </c>
      <c r="J37" s="17">
        <f>F37*0.21</f>
        <v>1050</v>
      </c>
      <c r="K37" s="17">
        <f>D37+F37+I37+J37</f>
        <v>6050</v>
      </c>
      <c r="L37" s="18"/>
    </row>
    <row r="38" spans="2:12" ht="31.5" x14ac:dyDescent="0.2">
      <c r="B38" s="19" t="s">
        <v>39</v>
      </c>
      <c r="C38" s="16" t="s">
        <v>40</v>
      </c>
      <c r="D38" s="17">
        <v>0</v>
      </c>
      <c r="E38" s="17"/>
      <c r="F38" s="17">
        <v>4000</v>
      </c>
      <c r="G38" s="17"/>
      <c r="H38" s="17">
        <v>4000</v>
      </c>
      <c r="I38" s="17">
        <v>0</v>
      </c>
      <c r="J38" s="17">
        <f>F38*0.21</f>
        <v>840</v>
      </c>
      <c r="K38" s="17">
        <f>D38+F38+I38+J38</f>
        <v>4840</v>
      </c>
      <c r="L38" s="18"/>
    </row>
    <row r="39" spans="2:12" ht="15.75" x14ac:dyDescent="0.2">
      <c r="B39" s="19" t="s">
        <v>41</v>
      </c>
      <c r="C39" s="16" t="s">
        <v>42</v>
      </c>
      <c r="D39" s="17">
        <v>0</v>
      </c>
      <c r="E39" s="17"/>
      <c r="F39" s="17">
        <v>1000</v>
      </c>
      <c r="G39" s="17"/>
      <c r="H39" s="17">
        <v>1000</v>
      </c>
      <c r="I39" s="17">
        <v>0</v>
      </c>
      <c r="J39" s="17">
        <f>F39*0.21</f>
        <v>210</v>
      </c>
      <c r="K39" s="17">
        <f>D39+F39+I39+J39</f>
        <v>1210</v>
      </c>
      <c r="L39" s="18"/>
    </row>
    <row r="40" spans="2:12" ht="15.75" x14ac:dyDescent="0.2">
      <c r="B40" s="15">
        <v>3.8</v>
      </c>
      <c r="C40" s="16" t="s">
        <v>43</v>
      </c>
      <c r="D40" s="17">
        <f>D41+D44+D45</f>
        <v>24341.679999999997</v>
      </c>
      <c r="E40" s="17"/>
      <c r="F40" s="17">
        <v>0</v>
      </c>
      <c r="G40" s="17"/>
      <c r="H40" s="17">
        <v>27566.67</v>
      </c>
      <c r="I40" s="17">
        <v>0</v>
      </c>
      <c r="J40" s="17">
        <f>D40*0.21</f>
        <v>5111.7527999999993</v>
      </c>
      <c r="K40" s="17">
        <f>D40+F40+I40+J40</f>
        <v>29453.432799999995</v>
      </c>
      <c r="L40" s="18"/>
    </row>
    <row r="41" spans="2:12" ht="15.75" x14ac:dyDescent="0.2">
      <c r="B41" s="19" t="s">
        <v>44</v>
      </c>
      <c r="C41" s="16" t="s">
        <v>45</v>
      </c>
      <c r="D41" s="17">
        <v>1666.67</v>
      </c>
      <c r="E41" s="17"/>
      <c r="F41" s="17">
        <v>0</v>
      </c>
      <c r="G41" s="17"/>
      <c r="H41" s="17">
        <v>1666.67</v>
      </c>
      <c r="I41" s="17">
        <v>0</v>
      </c>
      <c r="J41" s="17">
        <f t="shared" ref="J41:J45" si="4">D41*0.21</f>
        <v>350.00069999999999</v>
      </c>
      <c r="K41" s="17">
        <f t="shared" ref="K41:K43" si="5">D41+F41+I41+J41</f>
        <v>2016.6707000000001</v>
      </c>
      <c r="L41" s="18"/>
    </row>
    <row r="42" spans="2:12" ht="15.75" x14ac:dyDescent="0.2">
      <c r="B42" s="19" t="s">
        <v>46</v>
      </c>
      <c r="C42" s="16" t="s">
        <v>47</v>
      </c>
      <c r="D42" s="17">
        <v>1000</v>
      </c>
      <c r="E42" s="17"/>
      <c r="F42" s="17">
        <v>0</v>
      </c>
      <c r="G42" s="17"/>
      <c r="H42" s="17">
        <v>1000</v>
      </c>
      <c r="I42" s="17">
        <v>0</v>
      </c>
      <c r="J42" s="17">
        <f t="shared" si="4"/>
        <v>210</v>
      </c>
      <c r="K42" s="17">
        <f t="shared" si="5"/>
        <v>1210</v>
      </c>
      <c r="L42" s="18"/>
    </row>
    <row r="43" spans="2:12" ht="47.25" x14ac:dyDescent="0.2">
      <c r="B43" s="19" t="s">
        <v>48</v>
      </c>
      <c r="C43" s="16" t="s">
        <v>49</v>
      </c>
      <c r="D43" s="17">
        <v>666.67</v>
      </c>
      <c r="E43" s="17"/>
      <c r="F43" s="17">
        <v>0</v>
      </c>
      <c r="G43" s="17"/>
      <c r="H43" s="17">
        <v>666.67</v>
      </c>
      <c r="I43" s="17">
        <v>0</v>
      </c>
      <c r="J43" s="17">
        <f t="shared" si="4"/>
        <v>140.00069999999999</v>
      </c>
      <c r="K43" s="17">
        <f t="shared" si="5"/>
        <v>806.6706999999999</v>
      </c>
      <c r="L43" s="18"/>
    </row>
    <row r="44" spans="2:12" ht="15.75" x14ac:dyDescent="0.2">
      <c r="B44" s="19" t="s">
        <v>50</v>
      </c>
      <c r="C44" s="16" t="s">
        <v>51</v>
      </c>
      <c r="D44" s="17">
        <v>20416.669999999998</v>
      </c>
      <c r="E44" s="17"/>
      <c r="F44" s="17">
        <v>0</v>
      </c>
      <c r="G44" s="17"/>
      <c r="H44" s="17">
        <v>21500</v>
      </c>
      <c r="I44" s="17">
        <v>0</v>
      </c>
      <c r="J44" s="17">
        <f t="shared" si="4"/>
        <v>4287.5006999999996</v>
      </c>
      <c r="K44" s="17">
        <f>D44+F44+I44+J44</f>
        <v>24704.170699999999</v>
      </c>
      <c r="L44" s="18"/>
    </row>
    <row r="45" spans="2:12" ht="47.25" x14ac:dyDescent="0.2">
      <c r="B45" s="25" t="s">
        <v>52</v>
      </c>
      <c r="C45" s="21" t="s">
        <v>53</v>
      </c>
      <c r="D45" s="22">
        <v>2258.34</v>
      </c>
      <c r="E45" s="22"/>
      <c r="F45" s="22">
        <v>0</v>
      </c>
      <c r="G45" s="22"/>
      <c r="H45" s="23">
        <v>4400</v>
      </c>
      <c r="I45" s="17">
        <v>0</v>
      </c>
      <c r="J45" s="17">
        <f t="shared" si="4"/>
        <v>474.25139999999999</v>
      </c>
      <c r="K45" s="17">
        <f>D45+F45+I45+J45</f>
        <v>2732.5914000000002</v>
      </c>
      <c r="L45" s="24"/>
    </row>
    <row r="46" spans="2:12" ht="15.75" x14ac:dyDescent="0.2">
      <c r="B46" s="167" t="s">
        <v>54</v>
      </c>
      <c r="C46" s="168"/>
      <c r="D46" s="26">
        <f>D20+D24+D25+D26+D29+D36+D37+D40</f>
        <v>80423.356666666659</v>
      </c>
      <c r="E46" s="26"/>
      <c r="F46" s="26">
        <f>F20+F24+F25+F26+F29+F36+F37+F40</f>
        <v>10833.33</v>
      </c>
      <c r="G46" s="26"/>
      <c r="H46" s="26">
        <f>H20+H24+H25+H26+H29+H36+H37+H40</f>
        <v>91814.18</v>
      </c>
      <c r="I46" s="26">
        <f>I36+I29+I27+I25+I20+I24</f>
        <v>11003.851266666663</v>
      </c>
      <c r="J46" s="26">
        <f>J40+J37+J28</f>
        <v>7001.7527999999993</v>
      </c>
      <c r="K46" s="26">
        <f>D46+F46+I46+J46</f>
        <v>109262.29073333333</v>
      </c>
      <c r="L46" s="27"/>
    </row>
    <row r="47" spans="2:12" ht="15.75" x14ac:dyDescent="0.2">
      <c r="B47" s="164" t="s">
        <v>103</v>
      </c>
      <c r="C47" s="165"/>
      <c r="D47" s="165"/>
      <c r="E47" s="165"/>
      <c r="F47" s="165"/>
      <c r="G47" s="165"/>
      <c r="H47" s="165"/>
      <c r="I47" s="165"/>
      <c r="J47" s="165"/>
      <c r="K47" s="165"/>
      <c r="L47" s="166"/>
    </row>
    <row r="48" spans="2:12" s="98" customFormat="1" ht="15.75" x14ac:dyDescent="0.2">
      <c r="B48" s="99">
        <v>4.0999999999999996</v>
      </c>
      <c r="C48" s="50" t="s">
        <v>55</v>
      </c>
      <c r="D48" s="100">
        <f>D49+D50+D51+D52</f>
        <v>1943434.2699999998</v>
      </c>
      <c r="E48" s="100"/>
      <c r="F48" s="101">
        <v>0</v>
      </c>
      <c r="G48" s="101"/>
      <c r="H48" s="101">
        <v>2406860.88</v>
      </c>
      <c r="I48" s="101">
        <v>0</v>
      </c>
      <c r="J48" s="101">
        <f>D48*0.21</f>
        <v>408121.19669999991</v>
      </c>
      <c r="K48" s="100">
        <f>D48+F48+I48+J48</f>
        <v>2351555.4666999998</v>
      </c>
      <c r="L48" s="102"/>
    </row>
    <row r="49" spans="2:12" s="98" customFormat="1" ht="15.75" x14ac:dyDescent="0.2">
      <c r="B49" s="103" t="s">
        <v>56</v>
      </c>
      <c r="C49" s="104" t="s">
        <v>57</v>
      </c>
      <c r="D49" s="105">
        <f>1812979.75+27894.28-10170.78</f>
        <v>1830703.25</v>
      </c>
      <c r="E49" s="105"/>
      <c r="F49" s="101">
        <v>0</v>
      </c>
      <c r="G49" s="106"/>
      <c r="H49" s="106">
        <v>2403510.35</v>
      </c>
      <c r="I49" s="101">
        <v>0</v>
      </c>
      <c r="J49" s="101">
        <f t="shared" ref="J49:J60" si="6">D49*0.21</f>
        <v>384447.6825</v>
      </c>
      <c r="K49" s="100">
        <f t="shared" ref="K49:K60" si="7">D49+F49+I49+J49</f>
        <v>2215150.9325000001</v>
      </c>
      <c r="L49" s="107"/>
    </row>
    <row r="50" spans="2:12" s="98" customFormat="1" ht="15.75" x14ac:dyDescent="0.2">
      <c r="B50" s="103" t="s">
        <v>58</v>
      </c>
      <c r="C50" s="104" t="s">
        <v>61</v>
      </c>
      <c r="D50" s="106">
        <f>4195.13+18.31</f>
        <v>4213.4400000000005</v>
      </c>
      <c r="E50" s="106"/>
      <c r="F50" s="101">
        <v>0</v>
      </c>
      <c r="G50" s="106"/>
      <c r="H50" s="106">
        <v>2929.96</v>
      </c>
      <c r="I50" s="101">
        <v>0</v>
      </c>
      <c r="J50" s="101">
        <f t="shared" si="6"/>
        <v>884.82240000000013</v>
      </c>
      <c r="K50" s="100">
        <f t="shared" si="7"/>
        <v>5098.2624000000005</v>
      </c>
      <c r="L50" s="108"/>
    </row>
    <row r="51" spans="2:12" s="98" customFormat="1" ht="15.75" x14ac:dyDescent="0.2">
      <c r="B51" s="103" t="s">
        <v>60</v>
      </c>
      <c r="C51" s="104" t="s">
        <v>59</v>
      </c>
      <c r="D51" s="105">
        <f>980.97+12.21</f>
        <v>993.18000000000006</v>
      </c>
      <c r="E51" s="106"/>
      <c r="F51" s="101">
        <v>0</v>
      </c>
      <c r="G51" s="106"/>
      <c r="H51" s="106">
        <v>420.57</v>
      </c>
      <c r="I51" s="101">
        <v>0</v>
      </c>
      <c r="J51" s="101">
        <f t="shared" si="6"/>
        <v>208.56780000000001</v>
      </c>
      <c r="K51" s="100">
        <f t="shared" si="7"/>
        <v>1201.7478000000001</v>
      </c>
      <c r="L51" s="108"/>
    </row>
    <row r="52" spans="2:12" s="98" customFormat="1" ht="15.75" x14ac:dyDescent="0.2">
      <c r="B52" s="103" t="s">
        <v>99</v>
      </c>
      <c r="C52" s="104" t="s">
        <v>64</v>
      </c>
      <c r="D52" s="105">
        <f>104930.29+2594.11</f>
        <v>107524.4</v>
      </c>
      <c r="E52" s="106"/>
      <c r="F52" s="101">
        <v>0</v>
      </c>
      <c r="G52" s="106"/>
      <c r="H52" s="106">
        <v>0</v>
      </c>
      <c r="I52" s="101">
        <v>0</v>
      </c>
      <c r="J52" s="101">
        <f t="shared" si="6"/>
        <v>22580.123999999996</v>
      </c>
      <c r="K52" s="100">
        <f t="shared" si="7"/>
        <v>130104.52399999999</v>
      </c>
      <c r="L52" s="108"/>
    </row>
    <row r="53" spans="2:12" s="98" customFormat="1" ht="31.5" x14ac:dyDescent="0.2">
      <c r="B53" s="99">
        <v>4.2</v>
      </c>
      <c r="C53" s="50" t="s">
        <v>62</v>
      </c>
      <c r="D53" s="100">
        <f>D54</f>
        <v>46395.1</v>
      </c>
      <c r="E53" s="100"/>
      <c r="F53" s="101">
        <v>0</v>
      </c>
      <c r="G53" s="101"/>
      <c r="H53" s="101">
        <v>241989.85</v>
      </c>
      <c r="I53" s="101">
        <v>0</v>
      </c>
      <c r="J53" s="101">
        <f t="shared" si="6"/>
        <v>9742.9709999999995</v>
      </c>
      <c r="K53" s="100">
        <f t="shared" si="7"/>
        <v>56138.070999999996</v>
      </c>
      <c r="L53" s="102"/>
    </row>
    <row r="54" spans="2:12" s="98" customFormat="1" ht="15.75" x14ac:dyDescent="0.2">
      <c r="B54" s="103" t="s">
        <v>63</v>
      </c>
      <c r="C54" s="104" t="s">
        <v>61</v>
      </c>
      <c r="D54" s="105">
        <v>46395.1</v>
      </c>
      <c r="E54" s="105"/>
      <c r="F54" s="101">
        <v>0</v>
      </c>
      <c r="G54" s="106"/>
      <c r="H54" s="106">
        <v>37507.370000000003</v>
      </c>
      <c r="I54" s="101">
        <v>0</v>
      </c>
      <c r="J54" s="101">
        <f t="shared" si="6"/>
        <v>9742.9709999999995</v>
      </c>
      <c r="K54" s="100">
        <f t="shared" si="7"/>
        <v>56138.070999999996</v>
      </c>
      <c r="L54" s="107"/>
    </row>
    <row r="55" spans="2:12" s="98" customFormat="1" ht="31.5" x14ac:dyDescent="0.2">
      <c r="B55" s="99">
        <v>4.3</v>
      </c>
      <c r="C55" s="50" t="s">
        <v>66</v>
      </c>
      <c r="D55" s="100">
        <f>D56</f>
        <v>16000</v>
      </c>
      <c r="E55" s="100"/>
      <c r="F55" s="101">
        <v>0</v>
      </c>
      <c r="G55" s="101"/>
      <c r="H55" s="101">
        <v>75000</v>
      </c>
      <c r="I55" s="101">
        <v>0</v>
      </c>
      <c r="J55" s="101">
        <f t="shared" si="6"/>
        <v>3360</v>
      </c>
      <c r="K55" s="100">
        <f t="shared" si="7"/>
        <v>19360</v>
      </c>
      <c r="L55" s="102"/>
    </row>
    <row r="56" spans="2:12" s="98" customFormat="1" ht="15.75" x14ac:dyDescent="0.2">
      <c r="B56" s="103" t="s">
        <v>67</v>
      </c>
      <c r="C56" s="104" t="s">
        <v>61</v>
      </c>
      <c r="D56" s="105">
        <v>16000</v>
      </c>
      <c r="E56" s="105"/>
      <c r="F56" s="101">
        <v>0</v>
      </c>
      <c r="G56" s="106"/>
      <c r="H56" s="106">
        <v>75000</v>
      </c>
      <c r="I56" s="101">
        <v>0</v>
      </c>
      <c r="J56" s="101">
        <f t="shared" si="6"/>
        <v>3360</v>
      </c>
      <c r="K56" s="100">
        <f t="shared" si="7"/>
        <v>19360</v>
      </c>
      <c r="L56" s="107"/>
    </row>
    <row r="57" spans="2:12" s="98" customFormat="1" ht="47.25" x14ac:dyDescent="0.2">
      <c r="B57" s="99">
        <v>4.4000000000000004</v>
      </c>
      <c r="C57" s="50" t="s">
        <v>68</v>
      </c>
      <c r="D57" s="101">
        <v>0</v>
      </c>
      <c r="E57" s="101"/>
      <c r="F57" s="101">
        <v>0</v>
      </c>
      <c r="G57" s="101"/>
      <c r="H57" s="101">
        <v>0</v>
      </c>
      <c r="I57" s="101">
        <f t="shared" ref="I57:I59" si="8">D57*0.19</f>
        <v>0</v>
      </c>
      <c r="J57" s="101">
        <f t="shared" si="6"/>
        <v>0</v>
      </c>
      <c r="K57" s="100">
        <f t="shared" si="7"/>
        <v>0</v>
      </c>
      <c r="L57" s="112"/>
    </row>
    <row r="58" spans="2:12" s="98" customFormat="1" ht="15.75" x14ac:dyDescent="0.2">
      <c r="B58" s="99">
        <v>4.5</v>
      </c>
      <c r="C58" s="50" t="s">
        <v>69</v>
      </c>
      <c r="D58" s="101">
        <v>0</v>
      </c>
      <c r="E58" s="101"/>
      <c r="F58" s="101">
        <v>0</v>
      </c>
      <c r="G58" s="101"/>
      <c r="H58" s="101">
        <v>0</v>
      </c>
      <c r="I58" s="101">
        <f t="shared" si="8"/>
        <v>0</v>
      </c>
      <c r="J58" s="101">
        <f t="shared" si="6"/>
        <v>0</v>
      </c>
      <c r="K58" s="100">
        <f t="shared" si="7"/>
        <v>0</v>
      </c>
      <c r="L58" s="112"/>
    </row>
    <row r="59" spans="2:12" s="98" customFormat="1" ht="15.75" x14ac:dyDescent="0.2">
      <c r="B59" s="99">
        <v>4.5999999999999996</v>
      </c>
      <c r="C59" s="50" t="s">
        <v>70</v>
      </c>
      <c r="D59" s="101">
        <v>0</v>
      </c>
      <c r="E59" s="101"/>
      <c r="F59" s="101">
        <v>0</v>
      </c>
      <c r="G59" s="101"/>
      <c r="H59" s="101">
        <v>0</v>
      </c>
      <c r="I59" s="101">
        <f t="shared" si="8"/>
        <v>0</v>
      </c>
      <c r="J59" s="101">
        <f t="shared" si="6"/>
        <v>0</v>
      </c>
      <c r="K59" s="100">
        <f t="shared" si="7"/>
        <v>0</v>
      </c>
      <c r="L59" s="112"/>
    </row>
    <row r="60" spans="2:12" s="127" customFormat="1" ht="15.75" x14ac:dyDescent="0.2">
      <c r="B60" s="171" t="s">
        <v>71</v>
      </c>
      <c r="C60" s="172"/>
      <c r="D60" s="152">
        <f>D48+D53+D55+D57+D58+D59</f>
        <v>2005829.3699999999</v>
      </c>
      <c r="E60" s="109"/>
      <c r="F60" s="110"/>
      <c r="G60" s="110"/>
      <c r="H60" s="110">
        <f>H48+H53+H55+H57+H58+H59</f>
        <v>2723850.73</v>
      </c>
      <c r="I60" s="110">
        <v>0</v>
      </c>
      <c r="J60" s="110">
        <f t="shared" si="6"/>
        <v>421224.16769999993</v>
      </c>
      <c r="K60" s="109">
        <f t="shared" si="7"/>
        <v>2427053.5376999998</v>
      </c>
      <c r="L60" s="111"/>
    </row>
    <row r="61" spans="2:12" ht="15.75" x14ac:dyDescent="0.2">
      <c r="B61" s="164" t="s">
        <v>104</v>
      </c>
      <c r="C61" s="165"/>
      <c r="D61" s="165"/>
      <c r="E61" s="165"/>
      <c r="F61" s="165"/>
      <c r="G61" s="165"/>
      <c r="H61" s="165"/>
      <c r="I61" s="165"/>
      <c r="J61" s="165"/>
      <c r="K61" s="165"/>
      <c r="L61" s="166"/>
    </row>
    <row r="62" spans="2:12" ht="15.75" x14ac:dyDescent="0.2">
      <c r="B62" s="15">
        <v>5.0999999999999996</v>
      </c>
      <c r="C62" s="16" t="s">
        <v>72</v>
      </c>
      <c r="D62" s="31">
        <v>0</v>
      </c>
      <c r="E62" s="31"/>
      <c r="F62" s="17">
        <v>0</v>
      </c>
      <c r="G62" s="17"/>
      <c r="H62" s="17">
        <v>60000</v>
      </c>
      <c r="I62" s="17">
        <f>D62*0.21</f>
        <v>0</v>
      </c>
      <c r="J62" s="17">
        <v>0</v>
      </c>
      <c r="K62" s="31">
        <f t="shared" ref="K62:K75" si="9">D62+F62+I62</f>
        <v>0</v>
      </c>
      <c r="L62" s="35"/>
    </row>
    <row r="63" spans="2:12" ht="31.5" x14ac:dyDescent="0.2">
      <c r="B63" s="19" t="s">
        <v>73</v>
      </c>
      <c r="C63" s="16" t="s">
        <v>74</v>
      </c>
      <c r="D63" s="31">
        <v>0</v>
      </c>
      <c r="E63" s="31"/>
      <c r="F63" s="17">
        <v>0</v>
      </c>
      <c r="G63" s="17"/>
      <c r="H63" s="17">
        <v>50000</v>
      </c>
      <c r="I63" s="17">
        <f>D63*0.21</f>
        <v>0</v>
      </c>
      <c r="J63" s="17">
        <v>0</v>
      </c>
      <c r="K63" s="31">
        <f t="shared" si="9"/>
        <v>0</v>
      </c>
      <c r="L63" s="35"/>
    </row>
    <row r="64" spans="2:12" ht="15.75" x14ac:dyDescent="0.2">
      <c r="B64" s="25" t="s">
        <v>75</v>
      </c>
      <c r="C64" s="21" t="s">
        <v>76</v>
      </c>
      <c r="D64" s="36">
        <v>0</v>
      </c>
      <c r="E64" s="36"/>
      <c r="F64" s="17">
        <v>0</v>
      </c>
      <c r="G64" s="22"/>
      <c r="H64" s="23">
        <v>10000</v>
      </c>
      <c r="I64" s="17">
        <f>D64*0.21</f>
        <v>0</v>
      </c>
      <c r="J64" s="17">
        <v>0</v>
      </c>
      <c r="K64" s="31">
        <f t="shared" si="9"/>
        <v>0</v>
      </c>
      <c r="L64" s="37"/>
    </row>
    <row r="65" spans="1:15" s="98" customFormat="1" ht="15.75" x14ac:dyDescent="0.2">
      <c r="B65" s="99">
        <v>5.2</v>
      </c>
      <c r="C65" s="50" t="s">
        <v>77</v>
      </c>
      <c r="D65" s="100">
        <f>D66+D67+D68+D69+D70</f>
        <v>21888.123069999998</v>
      </c>
      <c r="E65" s="100"/>
      <c r="F65" s="101">
        <v>0</v>
      </c>
      <c r="G65" s="101"/>
      <c r="H65" s="101">
        <v>26977.06</v>
      </c>
      <c r="I65" s="101">
        <f>I66+I67+I68+I69+I70</f>
        <v>0</v>
      </c>
      <c r="J65" s="101">
        <v>0</v>
      </c>
      <c r="K65" s="100">
        <f t="shared" si="9"/>
        <v>21888.123069999998</v>
      </c>
      <c r="L65" s="102"/>
    </row>
    <row r="66" spans="1:15" ht="31.5" x14ac:dyDescent="0.2">
      <c r="B66" s="19" t="s">
        <v>78</v>
      </c>
      <c r="C66" s="16" t="s">
        <v>79</v>
      </c>
      <c r="D66" s="17">
        <v>0</v>
      </c>
      <c r="E66" s="17"/>
      <c r="F66" s="17">
        <v>0</v>
      </c>
      <c r="G66" s="17"/>
      <c r="H66" s="17">
        <v>0</v>
      </c>
      <c r="I66" s="17">
        <f>D66*0.21</f>
        <v>0</v>
      </c>
      <c r="J66" s="17">
        <v>0</v>
      </c>
      <c r="K66" s="31">
        <f t="shared" si="9"/>
        <v>0</v>
      </c>
      <c r="L66" s="18"/>
    </row>
    <row r="67" spans="1:15" ht="31.5" x14ac:dyDescent="0.2">
      <c r="A67" s="98"/>
      <c r="B67" s="113" t="s">
        <v>80</v>
      </c>
      <c r="C67" s="50" t="s">
        <v>81</v>
      </c>
      <c r="D67" s="100">
        <f>D85*0.005</f>
        <v>9949.1468499999992</v>
      </c>
      <c r="E67" s="100"/>
      <c r="F67" s="101">
        <v>0</v>
      </c>
      <c r="G67" s="101"/>
      <c r="H67" s="101">
        <v>12262.3</v>
      </c>
      <c r="I67" s="101">
        <v>0</v>
      </c>
      <c r="J67" s="101">
        <v>0</v>
      </c>
      <c r="K67" s="100">
        <f t="shared" si="9"/>
        <v>9949.1468499999992</v>
      </c>
      <c r="L67" s="102"/>
      <c r="M67" s="98"/>
      <c r="N67" s="98"/>
    </row>
    <row r="68" spans="1:15" ht="47.25" x14ac:dyDescent="0.2">
      <c r="A68" s="98"/>
      <c r="B68" s="113" t="s">
        <v>82</v>
      </c>
      <c r="C68" s="50" t="s">
        <v>83</v>
      </c>
      <c r="D68" s="100">
        <f>D85*0.001</f>
        <v>1989.8293699999999</v>
      </c>
      <c r="E68" s="101"/>
      <c r="F68" s="101">
        <v>0</v>
      </c>
      <c r="G68" s="101"/>
      <c r="H68" s="101">
        <v>2452.46</v>
      </c>
      <c r="I68" s="101">
        <v>0</v>
      </c>
      <c r="J68" s="101">
        <v>0</v>
      </c>
      <c r="K68" s="100">
        <f t="shared" si="9"/>
        <v>1989.8293699999999</v>
      </c>
      <c r="L68" s="112"/>
      <c r="M68" s="98"/>
      <c r="N68" s="98"/>
    </row>
    <row r="69" spans="1:15" ht="31.5" x14ac:dyDescent="0.2">
      <c r="A69" s="98"/>
      <c r="B69" s="113" t="s">
        <v>84</v>
      </c>
      <c r="C69" s="50" t="s">
        <v>85</v>
      </c>
      <c r="D69" s="100">
        <f>D85*0.005</f>
        <v>9949.1468499999992</v>
      </c>
      <c r="E69" s="100"/>
      <c r="F69" s="101">
        <v>0</v>
      </c>
      <c r="G69" s="101"/>
      <c r="H69" s="101">
        <v>12262.3</v>
      </c>
      <c r="I69" s="101">
        <v>0</v>
      </c>
      <c r="J69" s="101">
        <v>0</v>
      </c>
      <c r="K69" s="100">
        <f t="shared" si="9"/>
        <v>9949.1468499999992</v>
      </c>
      <c r="L69" s="102"/>
      <c r="M69" s="98"/>
      <c r="N69" s="98"/>
    </row>
    <row r="70" spans="1:15" ht="31.5" x14ac:dyDescent="0.2">
      <c r="B70" s="19" t="s">
        <v>86</v>
      </c>
      <c r="C70" s="16" t="s">
        <v>87</v>
      </c>
      <c r="D70" s="17">
        <v>0</v>
      </c>
      <c r="E70" s="17"/>
      <c r="F70" s="17">
        <v>0</v>
      </c>
      <c r="G70" s="17"/>
      <c r="H70" s="17">
        <v>0</v>
      </c>
      <c r="I70" s="17">
        <f>D70*0.21</f>
        <v>0</v>
      </c>
      <c r="J70" s="17">
        <v>0</v>
      </c>
      <c r="K70" s="31">
        <f t="shared" si="9"/>
        <v>0</v>
      </c>
      <c r="L70" s="18"/>
    </row>
    <row r="71" spans="1:15" ht="15.75" x14ac:dyDescent="0.2">
      <c r="A71" s="98"/>
      <c r="B71" s="99">
        <v>5.3</v>
      </c>
      <c r="C71" s="50" t="s">
        <v>88</v>
      </c>
      <c r="D71" s="100">
        <v>301798.12</v>
      </c>
      <c r="E71" s="100"/>
      <c r="F71" s="101">
        <v>0</v>
      </c>
      <c r="G71" s="101"/>
      <c r="H71" s="101">
        <v>242302.81</v>
      </c>
      <c r="I71" s="101">
        <v>0</v>
      </c>
      <c r="J71" s="101">
        <f>D71*0.21</f>
        <v>63377.605199999998</v>
      </c>
      <c r="K71" s="100">
        <f>J71+D71</f>
        <v>365175.72519999999</v>
      </c>
      <c r="L71" s="102"/>
      <c r="M71" s="98"/>
      <c r="N71" s="98"/>
      <c r="O71" s="98"/>
    </row>
    <row r="72" spans="1:15" ht="15.75" x14ac:dyDescent="0.2">
      <c r="A72" s="98"/>
      <c r="B72" s="99">
        <v>5.4</v>
      </c>
      <c r="C72" s="50" t="s">
        <v>89</v>
      </c>
      <c r="D72" s="100">
        <v>2000</v>
      </c>
      <c r="E72" s="101"/>
      <c r="F72" s="101">
        <v>0</v>
      </c>
      <c r="G72" s="101"/>
      <c r="H72" s="101">
        <v>2000</v>
      </c>
      <c r="I72" s="101">
        <f>I73+J74</f>
        <v>416.47899999999998</v>
      </c>
      <c r="J72" s="101">
        <v>0</v>
      </c>
      <c r="K72" s="100">
        <f t="shared" si="9"/>
        <v>2416.4789999999998</v>
      </c>
      <c r="L72" s="112"/>
      <c r="M72" s="98"/>
      <c r="N72" s="98"/>
      <c r="O72" s="98"/>
    </row>
    <row r="73" spans="1:15" ht="31.5" x14ac:dyDescent="0.2">
      <c r="A73" s="98"/>
      <c r="B73" s="153" t="s">
        <v>115</v>
      </c>
      <c r="C73" s="50" t="s">
        <v>117</v>
      </c>
      <c r="D73" s="100">
        <v>176.05</v>
      </c>
      <c r="E73" s="101"/>
      <c r="F73" s="101">
        <v>0</v>
      </c>
      <c r="G73" s="101"/>
      <c r="H73" s="101"/>
      <c r="I73" s="101">
        <f>D73*0.19</f>
        <v>33.4495</v>
      </c>
      <c r="J73" s="101">
        <v>0</v>
      </c>
      <c r="K73" s="100">
        <f>D73+I73</f>
        <v>209.49950000000001</v>
      </c>
      <c r="L73" s="112"/>
      <c r="M73" s="98"/>
      <c r="N73" s="98"/>
      <c r="O73" s="98"/>
    </row>
    <row r="74" spans="1:15" ht="31.5" x14ac:dyDescent="0.2">
      <c r="A74" s="98"/>
      <c r="B74" s="153" t="s">
        <v>116</v>
      </c>
      <c r="C74" s="50" t="s">
        <v>129</v>
      </c>
      <c r="D74" s="100">
        <v>1823.95</v>
      </c>
      <c r="E74" s="101"/>
      <c r="F74" s="101">
        <v>0</v>
      </c>
      <c r="G74" s="101"/>
      <c r="H74" s="101"/>
      <c r="I74" s="101">
        <v>0</v>
      </c>
      <c r="J74" s="101">
        <f>D74*0.21</f>
        <v>383.02949999999998</v>
      </c>
      <c r="K74" s="100">
        <f>D74+J74</f>
        <v>2206.9794999999999</v>
      </c>
      <c r="L74" s="112"/>
      <c r="M74" s="98"/>
      <c r="N74" s="98"/>
      <c r="O74" s="98"/>
    </row>
    <row r="75" spans="1:15" ht="15.75" x14ac:dyDescent="0.2">
      <c r="A75" s="98"/>
      <c r="B75" s="171" t="s">
        <v>90</v>
      </c>
      <c r="C75" s="172"/>
      <c r="D75" s="109">
        <f>D62+D65+D71+D72</f>
        <v>325686.24306999997</v>
      </c>
      <c r="E75" s="109"/>
      <c r="F75" s="110">
        <v>0</v>
      </c>
      <c r="G75" s="110"/>
      <c r="H75" s="110">
        <f>H62+H65+H71+H72</f>
        <v>331279.87</v>
      </c>
      <c r="I75" s="110">
        <f>I62+I65+I71+I73</f>
        <v>33.4495</v>
      </c>
      <c r="J75" s="110">
        <f>J74+J71</f>
        <v>63760.634699999995</v>
      </c>
      <c r="K75" s="109">
        <f t="shared" si="9"/>
        <v>325719.69256999996</v>
      </c>
      <c r="L75" s="111"/>
      <c r="M75" s="98"/>
      <c r="N75" s="98"/>
      <c r="O75" s="98"/>
    </row>
    <row r="76" spans="1:15" ht="15.75" x14ac:dyDescent="0.2">
      <c r="A76" s="98"/>
      <c r="B76" s="192" t="s">
        <v>110</v>
      </c>
      <c r="C76" s="193"/>
      <c r="D76" s="193"/>
      <c r="E76" s="193"/>
      <c r="F76" s="193"/>
      <c r="G76" s="193"/>
      <c r="H76" s="193"/>
      <c r="I76" s="193"/>
      <c r="J76" s="193"/>
      <c r="K76" s="193"/>
      <c r="L76" s="194"/>
      <c r="M76" s="98"/>
      <c r="N76" s="98"/>
      <c r="O76" s="98"/>
    </row>
    <row r="77" spans="1:15" ht="15.75" x14ac:dyDescent="0.2">
      <c r="A77" s="98"/>
      <c r="B77" s="99">
        <v>6.1</v>
      </c>
      <c r="C77" s="50" t="s">
        <v>91</v>
      </c>
      <c r="D77" s="101">
        <v>0</v>
      </c>
      <c r="E77" s="101">
        <v>0</v>
      </c>
      <c r="F77" s="101">
        <v>0</v>
      </c>
      <c r="G77" s="101">
        <v>0</v>
      </c>
      <c r="H77" s="101"/>
      <c r="I77" s="101">
        <v>0</v>
      </c>
      <c r="J77" s="101">
        <v>0</v>
      </c>
      <c r="K77" s="101">
        <v>0</v>
      </c>
      <c r="L77" s="112">
        <v>0</v>
      </c>
      <c r="M77" s="98"/>
      <c r="N77" s="98"/>
      <c r="O77" s="98"/>
    </row>
    <row r="78" spans="1:15" ht="15.75" x14ac:dyDescent="0.2">
      <c r="A78" s="98"/>
      <c r="B78" s="99">
        <v>6.2</v>
      </c>
      <c r="C78" s="50" t="s">
        <v>92</v>
      </c>
      <c r="D78" s="101">
        <v>0</v>
      </c>
      <c r="E78" s="101">
        <v>0</v>
      </c>
      <c r="F78" s="101">
        <v>0</v>
      </c>
      <c r="G78" s="101">
        <v>0</v>
      </c>
      <c r="H78" s="101"/>
      <c r="I78" s="101">
        <v>0</v>
      </c>
      <c r="J78" s="101">
        <v>0</v>
      </c>
      <c r="K78" s="101">
        <v>0</v>
      </c>
      <c r="L78" s="112">
        <v>0</v>
      </c>
      <c r="M78" s="98"/>
      <c r="N78" s="98"/>
      <c r="O78" s="98"/>
    </row>
    <row r="79" spans="1:15" ht="15.75" x14ac:dyDescent="0.2">
      <c r="A79" s="98"/>
      <c r="B79" s="171" t="s">
        <v>93</v>
      </c>
      <c r="C79" s="172"/>
      <c r="D79" s="110">
        <v>0</v>
      </c>
      <c r="E79" s="110">
        <v>0</v>
      </c>
      <c r="F79" s="110">
        <v>0</v>
      </c>
      <c r="G79" s="110">
        <v>0</v>
      </c>
      <c r="H79" s="110"/>
      <c r="I79" s="110">
        <v>0</v>
      </c>
      <c r="J79" s="110">
        <v>0</v>
      </c>
      <c r="K79" s="110">
        <v>0</v>
      </c>
      <c r="L79" s="120">
        <v>0</v>
      </c>
      <c r="M79" s="98"/>
      <c r="N79" s="98"/>
      <c r="O79" s="98"/>
    </row>
    <row r="80" spans="1:15" ht="15.75" x14ac:dyDescent="0.2">
      <c r="A80" s="98"/>
      <c r="B80" s="192" t="s">
        <v>111</v>
      </c>
      <c r="C80" s="193"/>
      <c r="D80" s="193"/>
      <c r="E80" s="193"/>
      <c r="F80" s="193"/>
      <c r="G80" s="193"/>
      <c r="H80" s="193"/>
      <c r="I80" s="193"/>
      <c r="J80" s="193"/>
      <c r="K80" s="193"/>
      <c r="L80" s="194"/>
      <c r="M80" s="98"/>
      <c r="N80" s="98"/>
      <c r="O80" s="98"/>
    </row>
    <row r="81" spans="1:15" ht="15.75" x14ac:dyDescent="0.2">
      <c r="A81" s="98"/>
      <c r="B81" s="99">
        <v>7.1</v>
      </c>
      <c r="C81" s="50" t="s">
        <v>94</v>
      </c>
      <c r="D81" s="101">
        <v>0</v>
      </c>
      <c r="E81" s="101">
        <v>0</v>
      </c>
      <c r="F81" s="100">
        <v>0</v>
      </c>
      <c r="G81" s="100">
        <v>60758.96</v>
      </c>
      <c r="H81" s="100">
        <v>60758.96</v>
      </c>
      <c r="I81" s="101">
        <f>F81*0.21</f>
        <v>0</v>
      </c>
      <c r="J81" s="101"/>
      <c r="K81" s="100">
        <f t="shared" ref="K81" si="10">D81+F81+I81</f>
        <v>0</v>
      </c>
      <c r="L81" s="102"/>
      <c r="M81" s="98"/>
      <c r="N81" s="98"/>
      <c r="O81" s="98"/>
    </row>
    <row r="82" spans="1:15" ht="31.5" x14ac:dyDescent="0.2">
      <c r="A82" s="98"/>
      <c r="B82" s="99">
        <v>7.2</v>
      </c>
      <c r="C82" s="50" t="s">
        <v>95</v>
      </c>
      <c r="D82" s="101">
        <v>0</v>
      </c>
      <c r="E82" s="101">
        <v>0</v>
      </c>
      <c r="F82" s="100">
        <v>137992.24</v>
      </c>
      <c r="G82" s="100">
        <v>88900.28</v>
      </c>
      <c r="H82" s="100">
        <v>88900.28</v>
      </c>
      <c r="I82" s="101">
        <v>0</v>
      </c>
      <c r="J82" s="101">
        <f>F82*0.21</f>
        <v>28978.370399999996</v>
      </c>
      <c r="K82" s="100">
        <f>D82+F82+I82+J82</f>
        <v>166970.61039999998</v>
      </c>
      <c r="L82" s="102"/>
      <c r="M82" s="98"/>
      <c r="N82" s="98"/>
      <c r="O82" s="98"/>
    </row>
    <row r="83" spans="1:15" ht="15.75" x14ac:dyDescent="0.2">
      <c r="A83" s="98"/>
      <c r="B83" s="171" t="s">
        <v>96</v>
      </c>
      <c r="C83" s="172"/>
      <c r="D83" s="110">
        <f>D81+D82</f>
        <v>0</v>
      </c>
      <c r="E83" s="110">
        <v>0</v>
      </c>
      <c r="F83" s="110">
        <f>F81+F82</f>
        <v>137992.24</v>
      </c>
      <c r="G83" s="110">
        <f t="shared" ref="G83:H83" si="11">G81+G82</f>
        <v>149659.24</v>
      </c>
      <c r="H83" s="110">
        <f t="shared" si="11"/>
        <v>149659.24</v>
      </c>
      <c r="I83" s="110">
        <f>I81+I82</f>
        <v>0</v>
      </c>
      <c r="J83" s="101">
        <f>F83*0.21</f>
        <v>28978.370399999996</v>
      </c>
      <c r="K83" s="100">
        <f>D83+F83+I83+J83</f>
        <v>166970.61039999998</v>
      </c>
      <c r="L83" s="111"/>
      <c r="M83" s="98"/>
      <c r="N83" s="98"/>
      <c r="O83" s="98"/>
    </row>
    <row r="84" spans="1:15" ht="15.75" x14ac:dyDescent="0.2">
      <c r="A84" s="98"/>
      <c r="B84" s="169" t="s">
        <v>98</v>
      </c>
      <c r="C84" s="170"/>
      <c r="D84" s="92">
        <f>D15+D18+D46+D60+D75+D79+D83</f>
        <v>2411938.9697366664</v>
      </c>
      <c r="E84" s="92">
        <f>E15+E18+E46+E60+E75+E79+E83</f>
        <v>0</v>
      </c>
      <c r="F84" s="92">
        <f>F15+F18+F46+F60+F75+F79+F83</f>
        <v>148825.56999999998</v>
      </c>
      <c r="G84" s="92">
        <f>G15+G18+G46+G60+G75+G79+G83</f>
        <v>149659.24</v>
      </c>
      <c r="H84" s="92">
        <f>H15+H18+H46+H60+H75+H79+H83</f>
        <v>3296604.0200000005</v>
      </c>
      <c r="I84" s="92">
        <f>I15+I18+I46+I60+I75+I79+I83</f>
        <v>11037.300766666664</v>
      </c>
      <c r="J84" s="92">
        <f>J83+J60+J46</f>
        <v>457204.29089999996</v>
      </c>
      <c r="K84" s="121">
        <f>D84+F84+I84+J84</f>
        <v>3029006.131403333</v>
      </c>
      <c r="L84" s="122"/>
      <c r="M84" s="98"/>
      <c r="N84" s="98"/>
      <c r="O84" s="98"/>
    </row>
    <row r="85" spans="1:15" ht="15.75" x14ac:dyDescent="0.2">
      <c r="A85" s="98"/>
      <c r="B85" s="171" t="s">
        <v>97</v>
      </c>
      <c r="C85" s="172"/>
      <c r="D85" s="110">
        <f>D15+D18+D48+D53+D63</f>
        <v>1989829.3699999999</v>
      </c>
      <c r="E85" s="110">
        <f>E15+E18+E48+E53+E63</f>
        <v>0</v>
      </c>
      <c r="F85" s="110">
        <f>F15+F18+F48+F53+F63</f>
        <v>0</v>
      </c>
      <c r="G85" s="110">
        <f>G15+G18+G48+G53+G63</f>
        <v>0</v>
      </c>
      <c r="H85" s="110">
        <f>H15+H18+H48+H53+H63</f>
        <v>2698850.73</v>
      </c>
      <c r="I85" s="110">
        <v>0</v>
      </c>
      <c r="J85" s="110">
        <f>D85*0.21</f>
        <v>417864.16769999993</v>
      </c>
      <c r="K85" s="110">
        <f>D85+F85+I85</f>
        <v>1989829.3699999999</v>
      </c>
      <c r="L85" s="111"/>
      <c r="M85" s="98"/>
      <c r="N85" s="98"/>
      <c r="O85" s="98"/>
    </row>
    <row r="86" spans="1:15" x14ac:dyDescent="0.2">
      <c r="A86" s="98"/>
      <c r="B86" s="3"/>
      <c r="C86" s="3"/>
      <c r="D86" s="123"/>
      <c r="E86" s="123"/>
      <c r="F86" s="123"/>
      <c r="G86" s="123"/>
      <c r="H86" s="123"/>
      <c r="I86" s="123"/>
      <c r="J86" s="123"/>
      <c r="K86" s="123"/>
      <c r="L86" s="124"/>
      <c r="M86" s="98"/>
      <c r="N86" s="98"/>
      <c r="O86" s="98"/>
    </row>
    <row r="87" spans="1:15" x14ac:dyDescent="0.2">
      <c r="A87" s="98"/>
      <c r="B87" s="3"/>
      <c r="C87" s="3"/>
      <c r="D87" s="123"/>
      <c r="E87" s="123"/>
      <c r="F87" s="123"/>
      <c r="G87" s="123"/>
      <c r="H87" s="123"/>
      <c r="I87" s="123"/>
      <c r="J87" s="123"/>
      <c r="K87" s="123"/>
      <c r="L87" s="124"/>
      <c r="M87" s="98"/>
      <c r="N87" s="98"/>
      <c r="O87" s="98"/>
    </row>
    <row r="88" spans="1:15" x14ac:dyDescent="0.2">
      <c r="B88" s="3"/>
      <c r="C88" s="3"/>
      <c r="D88" s="4"/>
      <c r="E88" s="4"/>
      <c r="F88" s="4"/>
      <c r="G88" s="4"/>
      <c r="H88" s="4"/>
      <c r="I88" s="4"/>
      <c r="J88" s="4"/>
      <c r="K88" s="4"/>
      <c r="L88" s="5"/>
    </row>
    <row r="89" spans="1:15" s="86" customFormat="1" ht="15.75" x14ac:dyDescent="0.25">
      <c r="B89" s="173"/>
      <c r="C89" s="173"/>
      <c r="D89" s="173"/>
      <c r="E89" s="173"/>
      <c r="F89" s="173"/>
      <c r="G89" s="173"/>
      <c r="H89" s="173"/>
      <c r="I89" s="173"/>
      <c r="J89" s="173"/>
      <c r="K89" s="173"/>
      <c r="L89" s="173"/>
    </row>
    <row r="90" spans="1:15" ht="15.75" x14ac:dyDescent="0.25">
      <c r="B90" s="2"/>
      <c r="C90" s="163" t="s">
        <v>148</v>
      </c>
      <c r="D90" s="205"/>
      <c r="E90" s="205"/>
      <c r="F90" s="205"/>
      <c r="G90" s="205"/>
      <c r="H90" s="205"/>
      <c r="I90" s="205" t="s">
        <v>134</v>
      </c>
      <c r="J90" s="205"/>
      <c r="K90" s="2"/>
      <c r="L90" s="2"/>
    </row>
    <row r="91" spans="1:15" ht="15.75" x14ac:dyDescent="0.2">
      <c r="C91" s="207" t="s">
        <v>147</v>
      </c>
      <c r="D91" s="85"/>
      <c r="E91" s="85"/>
      <c r="F91" s="208" t="s">
        <v>149</v>
      </c>
      <c r="G91" s="208"/>
      <c r="H91" s="208"/>
      <c r="I91" s="208"/>
      <c r="J91" s="208"/>
    </row>
  </sheetData>
  <mergeCells count="25">
    <mergeCell ref="F91:J91"/>
    <mergeCell ref="B5:L5"/>
    <mergeCell ref="B6:B7"/>
    <mergeCell ref="C6:C7"/>
    <mergeCell ref="D6:E6"/>
    <mergeCell ref="F6:G6"/>
    <mergeCell ref="K6:L6"/>
    <mergeCell ref="I6:J6"/>
    <mergeCell ref="B79:C79"/>
    <mergeCell ref="B10:L10"/>
    <mergeCell ref="B15:C15"/>
    <mergeCell ref="B17:L17"/>
    <mergeCell ref="B18:C18"/>
    <mergeCell ref="B19:L19"/>
    <mergeCell ref="B46:C46"/>
    <mergeCell ref="B47:L47"/>
    <mergeCell ref="B60:C60"/>
    <mergeCell ref="B61:L61"/>
    <mergeCell ref="B75:C75"/>
    <mergeCell ref="B76:L76"/>
    <mergeCell ref="B80:L80"/>
    <mergeCell ref="B83:C83"/>
    <mergeCell ref="B84:C84"/>
    <mergeCell ref="B85:C85"/>
    <mergeCell ref="B89:L8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38B16-BFDE-450C-BA51-FB9F14A2A2C4}">
  <sheetPr>
    <tabColor rgb="FF92D050"/>
  </sheetPr>
  <dimension ref="A3:O91"/>
  <sheetViews>
    <sheetView workbookViewId="0">
      <selection activeCell="C90" sqref="C90:J91"/>
    </sheetView>
  </sheetViews>
  <sheetFormatPr defaultRowHeight="12.75" x14ac:dyDescent="0.2"/>
  <cols>
    <col min="3" max="3" width="52.83203125" customWidth="1"/>
    <col min="4" max="4" width="18.6640625" customWidth="1"/>
    <col min="5" max="5" width="0" hidden="1" customWidth="1"/>
    <col min="6" max="6" width="17.83203125" customWidth="1"/>
    <col min="7" max="8" width="0" hidden="1" customWidth="1"/>
    <col min="9" max="10" width="16" customWidth="1"/>
    <col min="11" max="11" width="17.83203125" customWidth="1"/>
    <col min="12" max="12" width="0" hidden="1" customWidth="1"/>
  </cols>
  <sheetData>
    <row r="3" spans="2:12" ht="15.75" x14ac:dyDescent="0.2"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2:12" ht="15.75" x14ac:dyDescent="0.2"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</row>
    <row r="5" spans="2:12" ht="95.25" customHeight="1" x14ac:dyDescent="0.2">
      <c r="B5" s="203" t="s">
        <v>142</v>
      </c>
      <c r="C5" s="204"/>
      <c r="D5" s="204"/>
      <c r="E5" s="204"/>
      <c r="F5" s="204"/>
      <c r="G5" s="204"/>
      <c r="H5" s="204"/>
      <c r="I5" s="204"/>
      <c r="J5" s="204"/>
      <c r="K5" s="204"/>
      <c r="L5" s="204"/>
    </row>
    <row r="6" spans="2:12" ht="78.75" x14ac:dyDescent="0.2">
      <c r="B6" s="177" t="s">
        <v>0</v>
      </c>
      <c r="C6" s="179" t="s">
        <v>1</v>
      </c>
      <c r="D6" s="181" t="s">
        <v>2</v>
      </c>
      <c r="E6" s="182"/>
      <c r="F6" s="181" t="s">
        <v>3</v>
      </c>
      <c r="G6" s="182"/>
      <c r="H6" s="129" t="s">
        <v>100</v>
      </c>
      <c r="I6" s="198" t="s">
        <v>4</v>
      </c>
      <c r="J6" s="199"/>
      <c r="K6" s="183" t="s">
        <v>5</v>
      </c>
      <c r="L6" s="183"/>
    </row>
    <row r="7" spans="2:12" ht="15.75" x14ac:dyDescent="0.2">
      <c r="B7" s="178"/>
      <c r="C7" s="180"/>
      <c r="D7" s="44" t="s">
        <v>6</v>
      </c>
      <c r="E7" s="44" t="s">
        <v>7</v>
      </c>
      <c r="F7" s="44" t="s">
        <v>6</v>
      </c>
      <c r="G7" s="44" t="s">
        <v>7</v>
      </c>
      <c r="H7" s="44" t="s">
        <v>6</v>
      </c>
      <c r="I7" s="43" t="s">
        <v>126</v>
      </c>
      <c r="J7" s="43" t="s">
        <v>124</v>
      </c>
      <c r="K7" s="43" t="s">
        <v>6</v>
      </c>
      <c r="L7" s="84" t="s">
        <v>7</v>
      </c>
    </row>
    <row r="8" spans="2:12" ht="15.75" x14ac:dyDescent="0.2">
      <c r="B8" s="45">
        <v>1</v>
      </c>
      <c r="C8" s="46">
        <v>2</v>
      </c>
      <c r="D8" s="46">
        <v>3</v>
      </c>
      <c r="E8" s="46">
        <v>4</v>
      </c>
      <c r="F8" s="46">
        <v>4</v>
      </c>
      <c r="G8" s="46">
        <v>6</v>
      </c>
      <c r="H8" s="46">
        <v>5</v>
      </c>
      <c r="I8" s="46">
        <v>5</v>
      </c>
      <c r="J8" s="46">
        <v>6</v>
      </c>
      <c r="K8" s="46">
        <v>7</v>
      </c>
      <c r="L8" s="47">
        <v>9</v>
      </c>
    </row>
    <row r="9" spans="2:12" ht="15.75" x14ac:dyDescent="0.25"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</row>
    <row r="10" spans="2:12" ht="15.75" x14ac:dyDescent="0.2">
      <c r="B10" s="174" t="s">
        <v>107</v>
      </c>
      <c r="C10" s="175"/>
      <c r="D10" s="175"/>
      <c r="E10" s="175"/>
      <c r="F10" s="175"/>
      <c r="G10" s="175"/>
      <c r="H10" s="175"/>
      <c r="I10" s="175"/>
      <c r="J10" s="175"/>
      <c r="K10" s="175"/>
      <c r="L10" s="176"/>
    </row>
    <row r="11" spans="2:12" ht="15.75" x14ac:dyDescent="0.2">
      <c r="B11" s="49">
        <v>1.1000000000000001</v>
      </c>
      <c r="C11" s="50" t="s">
        <v>8</v>
      </c>
      <c r="D11" s="51">
        <v>0</v>
      </c>
      <c r="E11" s="51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2">
        <v>0</v>
      </c>
    </row>
    <row r="12" spans="2:12" ht="15.75" x14ac:dyDescent="0.2">
      <c r="B12" s="49">
        <v>1.2</v>
      </c>
      <c r="C12" s="50" t="s">
        <v>9</v>
      </c>
      <c r="D12" s="51">
        <v>0</v>
      </c>
      <c r="E12" s="51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2">
        <v>0</v>
      </c>
    </row>
    <row r="13" spans="2:12" ht="31.5" x14ac:dyDescent="0.2">
      <c r="B13" s="49">
        <v>1.3</v>
      </c>
      <c r="C13" s="50" t="s">
        <v>10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2">
        <v>0</v>
      </c>
    </row>
    <row r="14" spans="2:12" ht="15.75" x14ac:dyDescent="0.2">
      <c r="B14" s="49">
        <v>1.4</v>
      </c>
      <c r="C14" s="50" t="s">
        <v>11</v>
      </c>
      <c r="D14" s="51">
        <v>0</v>
      </c>
      <c r="E14" s="51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2">
        <v>0</v>
      </c>
    </row>
    <row r="15" spans="2:12" ht="15.75" x14ac:dyDescent="0.2">
      <c r="B15" s="171" t="s">
        <v>12</v>
      </c>
      <c r="C15" s="172"/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4">
        <v>0</v>
      </c>
    </row>
    <row r="16" spans="2:12" ht="15.75" x14ac:dyDescent="0.25"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</row>
    <row r="17" spans="2:12" ht="15.75" x14ac:dyDescent="0.2">
      <c r="B17" s="174" t="s">
        <v>102</v>
      </c>
      <c r="C17" s="175"/>
      <c r="D17" s="175"/>
      <c r="E17" s="175"/>
      <c r="F17" s="175"/>
      <c r="G17" s="175"/>
      <c r="H17" s="175"/>
      <c r="I17" s="175"/>
      <c r="J17" s="175"/>
      <c r="K17" s="175"/>
      <c r="L17" s="176"/>
    </row>
    <row r="18" spans="2:12" ht="15.75" x14ac:dyDescent="0.2">
      <c r="B18" s="171" t="s">
        <v>13</v>
      </c>
      <c r="C18" s="172"/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4">
        <v>0</v>
      </c>
    </row>
    <row r="19" spans="2:12" ht="15.75" customHeight="1" x14ac:dyDescent="0.2">
      <c r="B19" s="189" t="s">
        <v>130</v>
      </c>
      <c r="C19" s="190"/>
      <c r="D19" s="190"/>
      <c r="E19" s="190"/>
      <c r="F19" s="190"/>
      <c r="G19" s="190"/>
      <c r="H19" s="190"/>
      <c r="I19" s="190"/>
      <c r="J19" s="190"/>
      <c r="K19" s="190"/>
      <c r="L19" s="191"/>
    </row>
    <row r="20" spans="2:12" ht="15.75" x14ac:dyDescent="0.2">
      <c r="B20" s="15">
        <v>3.1</v>
      </c>
      <c r="C20" s="16" t="s">
        <v>14</v>
      </c>
      <c r="D20" s="17">
        <v>1666.67</v>
      </c>
      <c r="E20" s="17"/>
      <c r="F20" s="17">
        <v>0</v>
      </c>
      <c r="G20" s="17">
        <v>0</v>
      </c>
      <c r="H20" s="17">
        <v>1666.67</v>
      </c>
      <c r="I20" s="17">
        <f t="shared" ref="I20:I25" si="0">D20*0.19</f>
        <v>316.66730000000001</v>
      </c>
      <c r="J20" s="17">
        <v>0</v>
      </c>
      <c r="K20" s="17">
        <f t="shared" ref="K20:K25" si="1">D20+F20+I20</f>
        <v>1983.3373000000001</v>
      </c>
      <c r="L20" s="18"/>
    </row>
    <row r="21" spans="2:12" ht="15.75" x14ac:dyDescent="0.2">
      <c r="B21" s="19" t="s">
        <v>15</v>
      </c>
      <c r="C21" s="16" t="s">
        <v>16</v>
      </c>
      <c r="D21" s="17">
        <v>1666.67</v>
      </c>
      <c r="E21" s="17"/>
      <c r="F21" s="17">
        <v>0</v>
      </c>
      <c r="G21" s="17">
        <v>0</v>
      </c>
      <c r="H21" s="17">
        <v>1666.67</v>
      </c>
      <c r="I21" s="17">
        <f t="shared" si="0"/>
        <v>316.66730000000001</v>
      </c>
      <c r="J21" s="17">
        <v>0</v>
      </c>
      <c r="K21" s="17">
        <f t="shared" si="1"/>
        <v>1983.3373000000001</v>
      </c>
      <c r="L21" s="18"/>
    </row>
    <row r="22" spans="2:12" ht="15.75" x14ac:dyDescent="0.2">
      <c r="B22" s="19" t="s">
        <v>17</v>
      </c>
      <c r="C22" s="16" t="s">
        <v>18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f t="shared" si="0"/>
        <v>0</v>
      </c>
      <c r="J22" s="17">
        <v>0</v>
      </c>
      <c r="K22" s="17">
        <f t="shared" si="1"/>
        <v>0</v>
      </c>
      <c r="L22" s="18">
        <v>0</v>
      </c>
    </row>
    <row r="23" spans="2:12" ht="15.75" x14ac:dyDescent="0.2">
      <c r="B23" s="19" t="s">
        <v>19</v>
      </c>
      <c r="C23" s="16" t="s">
        <v>20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f t="shared" si="0"/>
        <v>0</v>
      </c>
      <c r="J23" s="17">
        <v>0</v>
      </c>
      <c r="K23" s="17">
        <f t="shared" si="1"/>
        <v>0</v>
      </c>
      <c r="L23" s="18">
        <v>0</v>
      </c>
    </row>
    <row r="24" spans="2:12" ht="31.5" x14ac:dyDescent="0.2">
      <c r="B24" s="20">
        <v>3.2</v>
      </c>
      <c r="C24" s="21" t="s">
        <v>21</v>
      </c>
      <c r="D24" s="22">
        <v>166.66666666666666</v>
      </c>
      <c r="E24" s="22"/>
      <c r="F24" s="22">
        <v>0</v>
      </c>
      <c r="G24" s="22">
        <v>0</v>
      </c>
      <c r="H24" s="23">
        <v>166.67</v>
      </c>
      <c r="I24" s="17">
        <f t="shared" si="0"/>
        <v>31.666666666666664</v>
      </c>
      <c r="J24" s="17">
        <v>0</v>
      </c>
      <c r="K24" s="17">
        <f t="shared" si="1"/>
        <v>198.33333333333331</v>
      </c>
      <c r="L24" s="24"/>
    </row>
    <row r="25" spans="2:12" ht="15.75" x14ac:dyDescent="0.2">
      <c r="B25" s="15">
        <v>3.3</v>
      </c>
      <c r="C25" s="16" t="s">
        <v>22</v>
      </c>
      <c r="D25" s="17">
        <v>1250</v>
      </c>
      <c r="E25" s="17"/>
      <c r="F25" s="17">
        <v>0</v>
      </c>
      <c r="G25" s="17">
        <v>0</v>
      </c>
      <c r="H25" s="17">
        <v>1250</v>
      </c>
      <c r="I25" s="17">
        <f t="shared" si="0"/>
        <v>237.5</v>
      </c>
      <c r="J25" s="17">
        <v>0</v>
      </c>
      <c r="K25" s="17">
        <f t="shared" si="1"/>
        <v>1487.5</v>
      </c>
      <c r="L25" s="18"/>
    </row>
    <row r="26" spans="2:12" ht="31.5" x14ac:dyDescent="0.2">
      <c r="B26" s="15">
        <v>3.4</v>
      </c>
      <c r="C26" s="16" t="s">
        <v>23</v>
      </c>
      <c r="D26" s="17">
        <f>D27+D28</f>
        <v>4666.67</v>
      </c>
      <c r="E26" s="17"/>
      <c r="F26" s="17">
        <v>0</v>
      </c>
      <c r="G26" s="17">
        <v>0</v>
      </c>
      <c r="H26" s="17">
        <v>2000</v>
      </c>
      <c r="I26" s="17">
        <f>I27+J28</f>
        <v>966.66729999999995</v>
      </c>
      <c r="J26" s="17"/>
      <c r="K26" s="17">
        <f>K27+K28</f>
        <v>5633.3373000000001</v>
      </c>
      <c r="L26" s="18"/>
    </row>
    <row r="27" spans="2:12" ht="31.5" x14ac:dyDescent="0.2">
      <c r="B27" s="15" t="s">
        <v>113</v>
      </c>
      <c r="C27" s="16" t="s">
        <v>119</v>
      </c>
      <c r="D27" s="17">
        <v>666.67</v>
      </c>
      <c r="E27" s="17"/>
      <c r="F27" s="17">
        <v>0</v>
      </c>
      <c r="G27" s="17"/>
      <c r="H27" s="17"/>
      <c r="I27" s="17">
        <f>D27*0.19</f>
        <v>126.6673</v>
      </c>
      <c r="J27" s="17">
        <v>0</v>
      </c>
      <c r="K27" s="17">
        <f>D27+F27+I27</f>
        <v>793.33729999999991</v>
      </c>
      <c r="L27" s="18"/>
    </row>
    <row r="28" spans="2:12" ht="31.5" x14ac:dyDescent="0.2">
      <c r="B28" s="15" t="s">
        <v>114</v>
      </c>
      <c r="C28" s="16" t="s">
        <v>120</v>
      </c>
      <c r="D28" s="17">
        <v>4000</v>
      </c>
      <c r="E28" s="17"/>
      <c r="F28" s="17">
        <v>0</v>
      </c>
      <c r="G28" s="17"/>
      <c r="H28" s="17"/>
      <c r="I28" s="17">
        <v>0</v>
      </c>
      <c r="J28" s="17">
        <f>D28*0.21</f>
        <v>840</v>
      </c>
      <c r="K28" s="17">
        <f>+D28+F28+I28+J28</f>
        <v>4840</v>
      </c>
      <c r="L28" s="18"/>
    </row>
    <row r="29" spans="2:12" ht="15.75" x14ac:dyDescent="0.2">
      <c r="B29" s="15">
        <v>3.5</v>
      </c>
      <c r="C29" s="16" t="s">
        <v>24</v>
      </c>
      <c r="D29" s="17">
        <f>D30+D31+D32+D33+D34+D35</f>
        <v>48331.67</v>
      </c>
      <c r="E29" s="17"/>
      <c r="F29" s="17">
        <v>0</v>
      </c>
      <c r="G29" s="17">
        <v>0</v>
      </c>
      <c r="H29" s="17">
        <v>48164.17</v>
      </c>
      <c r="I29" s="17">
        <f t="shared" ref="I29:I35" si="2">D29*0.19</f>
        <v>9183.0172999999995</v>
      </c>
      <c r="J29" s="17">
        <v>0</v>
      </c>
      <c r="K29" s="17">
        <f t="shared" ref="K29:K36" si="3">D29+F29+I29</f>
        <v>57514.687299999998</v>
      </c>
      <c r="L29" s="18"/>
    </row>
    <row r="30" spans="2:12" ht="15.75" x14ac:dyDescent="0.2">
      <c r="B30" s="19" t="s">
        <v>25</v>
      </c>
      <c r="C30" s="16" t="s">
        <v>26</v>
      </c>
      <c r="D30" s="17">
        <v>0</v>
      </c>
      <c r="E30" s="17"/>
      <c r="F30" s="17">
        <v>0</v>
      </c>
      <c r="G30" s="17">
        <v>0</v>
      </c>
      <c r="H30" s="17">
        <v>0</v>
      </c>
      <c r="I30" s="17">
        <f t="shared" si="2"/>
        <v>0</v>
      </c>
      <c r="J30" s="17">
        <v>0</v>
      </c>
      <c r="K30" s="17">
        <f t="shared" si="3"/>
        <v>0</v>
      </c>
      <c r="L30" s="18"/>
    </row>
    <row r="31" spans="2:12" ht="15.75" x14ac:dyDescent="0.2">
      <c r="B31" s="19" t="s">
        <v>27</v>
      </c>
      <c r="C31" s="16" t="s">
        <v>28</v>
      </c>
      <c r="D31" s="17">
        <v>0</v>
      </c>
      <c r="E31" s="17"/>
      <c r="F31" s="17">
        <v>0</v>
      </c>
      <c r="G31" s="17">
        <v>0</v>
      </c>
      <c r="H31" s="17">
        <v>0</v>
      </c>
      <c r="I31" s="17">
        <f t="shared" si="2"/>
        <v>0</v>
      </c>
      <c r="J31" s="17">
        <v>0</v>
      </c>
      <c r="K31" s="17">
        <f t="shared" si="3"/>
        <v>0</v>
      </c>
      <c r="L31" s="18"/>
    </row>
    <row r="32" spans="2:12" ht="31.5" x14ac:dyDescent="0.2">
      <c r="B32" s="19" t="s">
        <v>29</v>
      </c>
      <c r="C32" s="16" t="s">
        <v>30</v>
      </c>
      <c r="D32" s="17">
        <v>5000</v>
      </c>
      <c r="E32" s="17"/>
      <c r="F32" s="17">
        <v>0</v>
      </c>
      <c r="G32" s="17">
        <v>0</v>
      </c>
      <c r="H32" s="17">
        <v>5000</v>
      </c>
      <c r="I32" s="17">
        <f t="shared" si="2"/>
        <v>950</v>
      </c>
      <c r="J32" s="17">
        <v>0</v>
      </c>
      <c r="K32" s="17">
        <f t="shared" si="3"/>
        <v>5950</v>
      </c>
      <c r="L32" s="18"/>
    </row>
    <row r="33" spans="2:12" ht="31.5" x14ac:dyDescent="0.2">
      <c r="B33" s="19" t="s">
        <v>31</v>
      </c>
      <c r="C33" s="16" t="s">
        <v>32</v>
      </c>
      <c r="D33" s="53">
        <v>166.67</v>
      </c>
      <c r="E33" s="53"/>
      <c r="F33" s="53">
        <v>0</v>
      </c>
      <c r="G33" s="53"/>
      <c r="H33" s="53">
        <v>1500</v>
      </c>
      <c r="I33" s="53">
        <f t="shared" si="2"/>
        <v>31.667299999999997</v>
      </c>
      <c r="J33" s="53">
        <v>0</v>
      </c>
      <c r="K33" s="17">
        <f t="shared" si="3"/>
        <v>198.33729999999997</v>
      </c>
      <c r="L33" s="54"/>
    </row>
    <row r="34" spans="2:12" ht="31.5" x14ac:dyDescent="0.2">
      <c r="B34" s="19" t="s">
        <v>33</v>
      </c>
      <c r="C34" s="16" t="s">
        <v>34</v>
      </c>
      <c r="D34" s="17">
        <v>5500.83</v>
      </c>
      <c r="E34" s="17"/>
      <c r="F34" s="17">
        <v>0</v>
      </c>
      <c r="G34" s="17"/>
      <c r="H34" s="17">
        <v>5500</v>
      </c>
      <c r="I34" s="17">
        <f t="shared" si="2"/>
        <v>1045.1577</v>
      </c>
      <c r="J34" s="17">
        <v>0</v>
      </c>
      <c r="K34" s="17">
        <f t="shared" si="3"/>
        <v>6545.9876999999997</v>
      </c>
      <c r="L34" s="18"/>
    </row>
    <row r="35" spans="2:12" ht="15.75" x14ac:dyDescent="0.2">
      <c r="B35" s="19" t="s">
        <v>35</v>
      </c>
      <c r="C35" s="16" t="s">
        <v>36</v>
      </c>
      <c r="D35" s="17">
        <v>37664.17</v>
      </c>
      <c r="E35" s="17"/>
      <c r="F35" s="17">
        <v>0</v>
      </c>
      <c r="G35" s="17"/>
      <c r="H35" s="17">
        <v>36164.17</v>
      </c>
      <c r="I35" s="17">
        <f t="shared" si="2"/>
        <v>7156.1922999999997</v>
      </c>
      <c r="J35" s="17">
        <v>0</v>
      </c>
      <c r="K35" s="17">
        <f t="shared" si="3"/>
        <v>44820.362300000001</v>
      </c>
      <c r="L35" s="18"/>
    </row>
    <row r="36" spans="2:12" ht="15.75" x14ac:dyDescent="0.2">
      <c r="B36" s="15">
        <v>3.6</v>
      </c>
      <c r="C36" s="16" t="s">
        <v>37</v>
      </c>
      <c r="D36" s="17">
        <v>0</v>
      </c>
      <c r="E36" s="17"/>
      <c r="F36" s="17">
        <v>5833.33</v>
      </c>
      <c r="G36" s="17"/>
      <c r="H36" s="17">
        <v>6000</v>
      </c>
      <c r="I36" s="17">
        <f>(D36+F36)*0.19</f>
        <v>1108.3326999999999</v>
      </c>
      <c r="J36" s="17">
        <v>0</v>
      </c>
      <c r="K36" s="17">
        <f t="shared" si="3"/>
        <v>6941.6626999999999</v>
      </c>
      <c r="L36" s="18"/>
    </row>
    <row r="37" spans="2:12" ht="15.75" x14ac:dyDescent="0.2">
      <c r="B37" s="15">
        <v>3.7</v>
      </c>
      <c r="C37" s="16" t="s">
        <v>38</v>
      </c>
      <c r="D37" s="17">
        <v>0</v>
      </c>
      <c r="E37" s="17"/>
      <c r="F37" s="17">
        <v>5000</v>
      </c>
      <c r="G37" s="17"/>
      <c r="H37" s="17">
        <v>5000</v>
      </c>
      <c r="I37" s="17">
        <v>0</v>
      </c>
      <c r="J37" s="17">
        <f>F37*0.21</f>
        <v>1050</v>
      </c>
      <c r="K37" s="17">
        <f>D37+F37+I37+J37</f>
        <v>6050</v>
      </c>
      <c r="L37" s="18"/>
    </row>
    <row r="38" spans="2:12" ht="31.5" x14ac:dyDescent="0.2">
      <c r="B38" s="19" t="s">
        <v>39</v>
      </c>
      <c r="C38" s="16" t="s">
        <v>40</v>
      </c>
      <c r="D38" s="17">
        <v>0</v>
      </c>
      <c r="E38" s="17"/>
      <c r="F38" s="17">
        <v>4000</v>
      </c>
      <c r="G38" s="17"/>
      <c r="H38" s="17">
        <v>4000</v>
      </c>
      <c r="I38" s="17">
        <v>0</v>
      </c>
      <c r="J38" s="17">
        <f>F38*0.21</f>
        <v>840</v>
      </c>
      <c r="K38" s="17">
        <f>D38+F38+I38+J38</f>
        <v>4840</v>
      </c>
      <c r="L38" s="18"/>
    </row>
    <row r="39" spans="2:12" ht="15.75" x14ac:dyDescent="0.2">
      <c r="B39" s="19" t="s">
        <v>41</v>
      </c>
      <c r="C39" s="16" t="s">
        <v>42</v>
      </c>
      <c r="D39" s="17">
        <v>0</v>
      </c>
      <c r="E39" s="17"/>
      <c r="F39" s="17">
        <v>1000</v>
      </c>
      <c r="G39" s="17"/>
      <c r="H39" s="17">
        <v>1000</v>
      </c>
      <c r="I39" s="17">
        <v>0</v>
      </c>
      <c r="J39" s="17">
        <f>F39*0.21</f>
        <v>210</v>
      </c>
      <c r="K39" s="17">
        <f>D39+F39+I39+J39</f>
        <v>1210</v>
      </c>
      <c r="L39" s="18"/>
    </row>
    <row r="40" spans="2:12" ht="15.75" x14ac:dyDescent="0.2">
      <c r="B40" s="15">
        <v>3.8</v>
      </c>
      <c r="C40" s="16" t="s">
        <v>43</v>
      </c>
      <c r="D40" s="17">
        <f>D41+D44+D45</f>
        <v>24341.679999999997</v>
      </c>
      <c r="E40" s="17"/>
      <c r="F40" s="17">
        <v>0</v>
      </c>
      <c r="G40" s="17"/>
      <c r="H40" s="17">
        <v>27566.67</v>
      </c>
      <c r="I40" s="17">
        <v>0</v>
      </c>
      <c r="J40" s="17">
        <f>D40*0.21</f>
        <v>5111.7527999999993</v>
      </c>
      <c r="K40" s="17">
        <f>D40+F40+I40+J40</f>
        <v>29453.432799999995</v>
      </c>
      <c r="L40" s="18"/>
    </row>
    <row r="41" spans="2:12" ht="15.75" x14ac:dyDescent="0.2">
      <c r="B41" s="19" t="s">
        <v>44</v>
      </c>
      <c r="C41" s="16" t="s">
        <v>45</v>
      </c>
      <c r="D41" s="17">
        <v>1666.67</v>
      </c>
      <c r="E41" s="17"/>
      <c r="F41" s="17">
        <v>0</v>
      </c>
      <c r="G41" s="17"/>
      <c r="H41" s="17">
        <v>1666.67</v>
      </c>
      <c r="I41" s="17">
        <v>0</v>
      </c>
      <c r="J41" s="17">
        <f t="shared" ref="J41:J45" si="4">D41*0.21</f>
        <v>350.00069999999999</v>
      </c>
      <c r="K41" s="17">
        <f t="shared" ref="K41:K43" si="5">D41+F41+I41+J41</f>
        <v>2016.6707000000001</v>
      </c>
      <c r="L41" s="18"/>
    </row>
    <row r="42" spans="2:12" ht="15.75" x14ac:dyDescent="0.2">
      <c r="B42" s="19" t="s">
        <v>46</v>
      </c>
      <c r="C42" s="16" t="s">
        <v>47</v>
      </c>
      <c r="D42" s="17">
        <v>1000</v>
      </c>
      <c r="E42" s="17"/>
      <c r="F42" s="17">
        <v>0</v>
      </c>
      <c r="G42" s="17"/>
      <c r="H42" s="17">
        <v>1000</v>
      </c>
      <c r="I42" s="17">
        <v>0</v>
      </c>
      <c r="J42" s="17">
        <f t="shared" si="4"/>
        <v>210</v>
      </c>
      <c r="K42" s="17">
        <f t="shared" si="5"/>
        <v>1210</v>
      </c>
      <c r="L42" s="18"/>
    </row>
    <row r="43" spans="2:12" ht="47.25" x14ac:dyDescent="0.2">
      <c r="B43" s="19" t="s">
        <v>48</v>
      </c>
      <c r="C43" s="16" t="s">
        <v>49</v>
      </c>
      <c r="D43" s="17">
        <v>666.67</v>
      </c>
      <c r="E43" s="17"/>
      <c r="F43" s="17">
        <v>0</v>
      </c>
      <c r="G43" s="17"/>
      <c r="H43" s="17">
        <v>666.67</v>
      </c>
      <c r="I43" s="17">
        <v>0</v>
      </c>
      <c r="J43" s="17">
        <f t="shared" si="4"/>
        <v>140.00069999999999</v>
      </c>
      <c r="K43" s="17">
        <f t="shared" si="5"/>
        <v>806.6706999999999</v>
      </c>
      <c r="L43" s="18"/>
    </row>
    <row r="44" spans="2:12" ht="15.75" x14ac:dyDescent="0.2">
      <c r="B44" s="19" t="s">
        <v>50</v>
      </c>
      <c r="C44" s="16" t="s">
        <v>51</v>
      </c>
      <c r="D44" s="17">
        <v>20416.669999999998</v>
      </c>
      <c r="E44" s="17"/>
      <c r="F44" s="17">
        <v>0</v>
      </c>
      <c r="G44" s="17"/>
      <c r="H44" s="17">
        <v>21500</v>
      </c>
      <c r="I44" s="17">
        <v>0</v>
      </c>
      <c r="J44" s="17">
        <f t="shared" si="4"/>
        <v>4287.5006999999996</v>
      </c>
      <c r="K44" s="17">
        <f>D44+F44+I44+J44</f>
        <v>24704.170699999999</v>
      </c>
      <c r="L44" s="18"/>
    </row>
    <row r="45" spans="2:12" ht="47.25" x14ac:dyDescent="0.2">
      <c r="B45" s="25" t="s">
        <v>52</v>
      </c>
      <c r="C45" s="21" t="s">
        <v>53</v>
      </c>
      <c r="D45" s="22">
        <v>2258.34</v>
      </c>
      <c r="E45" s="22"/>
      <c r="F45" s="22">
        <v>0</v>
      </c>
      <c r="G45" s="22"/>
      <c r="H45" s="23">
        <v>4400</v>
      </c>
      <c r="I45" s="17">
        <v>0</v>
      </c>
      <c r="J45" s="17">
        <f t="shared" si="4"/>
        <v>474.25139999999999</v>
      </c>
      <c r="K45" s="17">
        <f>D45+F45+I45+J45</f>
        <v>2732.5914000000002</v>
      </c>
      <c r="L45" s="24"/>
    </row>
    <row r="46" spans="2:12" ht="15.75" customHeight="1" x14ac:dyDescent="0.2">
      <c r="B46" s="167" t="s">
        <v>54</v>
      </c>
      <c r="C46" s="168"/>
      <c r="D46" s="26">
        <f>D20+D24+D25+D26+D29+D36+D37+D40</f>
        <v>80423.356666666659</v>
      </c>
      <c r="E46" s="26"/>
      <c r="F46" s="26">
        <f>F20+F24+F25+F26+F29+F36+F37+F40</f>
        <v>10833.33</v>
      </c>
      <c r="G46" s="26"/>
      <c r="H46" s="26">
        <f>H20+H24+H25+H26+H29+H36+H37+H40</f>
        <v>91814.18</v>
      </c>
      <c r="I46" s="26">
        <f>I36+I29+I27+I25+I20+I24</f>
        <v>11003.851266666663</v>
      </c>
      <c r="J46" s="26">
        <f>J40+J37+J28</f>
        <v>7001.7527999999993</v>
      </c>
      <c r="K46" s="26">
        <f>D46+F46+I46+J46</f>
        <v>109262.29073333333</v>
      </c>
      <c r="L46" s="27"/>
    </row>
    <row r="47" spans="2:12" ht="15.75" x14ac:dyDescent="0.2">
      <c r="B47" s="164" t="s">
        <v>103</v>
      </c>
      <c r="C47" s="165"/>
      <c r="D47" s="165"/>
      <c r="E47" s="165"/>
      <c r="F47" s="165"/>
      <c r="G47" s="165"/>
      <c r="H47" s="165"/>
      <c r="I47" s="165"/>
      <c r="J47" s="165"/>
      <c r="K47" s="165"/>
      <c r="L47" s="166"/>
    </row>
    <row r="48" spans="2:12" s="98" customFormat="1" ht="15.75" x14ac:dyDescent="0.2">
      <c r="B48" s="99">
        <v>4.0999999999999996</v>
      </c>
      <c r="C48" s="50" t="s">
        <v>55</v>
      </c>
      <c r="D48" s="100">
        <f>D49+D50+D51+D52</f>
        <v>1911430.13</v>
      </c>
      <c r="E48" s="100"/>
      <c r="F48" s="101">
        <v>0</v>
      </c>
      <c r="G48" s="101"/>
      <c r="H48" s="101">
        <v>2406860.88</v>
      </c>
      <c r="I48" s="101">
        <v>0</v>
      </c>
      <c r="J48" s="101">
        <f>D48*0.21</f>
        <v>401400.32729999995</v>
      </c>
      <c r="K48" s="100">
        <f>D48+F48+I48+J48</f>
        <v>2312830.4572999999</v>
      </c>
      <c r="L48" s="102"/>
    </row>
    <row r="49" spans="2:12" s="98" customFormat="1" ht="15.75" x14ac:dyDescent="0.2">
      <c r="B49" s="103" t="s">
        <v>56</v>
      </c>
      <c r="C49" s="104" t="s">
        <v>57</v>
      </c>
      <c r="D49" s="105">
        <f>1731586.89+62754.88</f>
        <v>1794341.7699999998</v>
      </c>
      <c r="E49" s="105"/>
      <c r="F49" s="101">
        <v>0</v>
      </c>
      <c r="G49" s="106"/>
      <c r="H49" s="106">
        <v>2403510.35</v>
      </c>
      <c r="I49" s="101">
        <v>0</v>
      </c>
      <c r="J49" s="101">
        <f t="shared" ref="J49:J60" si="6">D49*0.21</f>
        <v>376811.77169999992</v>
      </c>
      <c r="K49" s="100">
        <f t="shared" ref="K49:K60" si="7">D49+F49+I49+J49</f>
        <v>2171153.5416999999</v>
      </c>
      <c r="L49" s="107"/>
    </row>
    <row r="50" spans="2:12" ht="15.75" x14ac:dyDescent="0.2">
      <c r="B50" s="28" t="s">
        <v>58</v>
      </c>
      <c r="C50" s="29" t="s">
        <v>61</v>
      </c>
      <c r="D50" s="30">
        <f>4195.13+41.2</f>
        <v>4236.33</v>
      </c>
      <c r="E50" s="30"/>
      <c r="F50" s="17">
        <v>0</v>
      </c>
      <c r="G50" s="30"/>
      <c r="H50" s="30">
        <v>2929.96</v>
      </c>
      <c r="I50" s="17">
        <v>0</v>
      </c>
      <c r="J50" s="101">
        <f t="shared" si="6"/>
        <v>889.62929999999994</v>
      </c>
      <c r="K50" s="100">
        <f t="shared" si="7"/>
        <v>5125.9592999999995</v>
      </c>
      <c r="L50" s="32"/>
    </row>
    <row r="51" spans="2:12" s="98" customFormat="1" ht="15.75" x14ac:dyDescent="0.2">
      <c r="B51" s="103" t="s">
        <v>60</v>
      </c>
      <c r="C51" s="104" t="s">
        <v>59</v>
      </c>
      <c r="D51" s="105">
        <f>980.97+27.46</f>
        <v>1008.4300000000001</v>
      </c>
      <c r="E51" s="106"/>
      <c r="F51" s="101">
        <v>0</v>
      </c>
      <c r="G51" s="106"/>
      <c r="H51" s="106">
        <v>420.57</v>
      </c>
      <c r="I51" s="101">
        <v>0</v>
      </c>
      <c r="J51" s="101">
        <f t="shared" si="6"/>
        <v>211.77029999999999</v>
      </c>
      <c r="K51" s="100">
        <f t="shared" si="7"/>
        <v>1220.2003</v>
      </c>
      <c r="L51" s="108"/>
    </row>
    <row r="52" spans="2:12" ht="15.75" x14ac:dyDescent="0.2">
      <c r="B52" s="28" t="s">
        <v>99</v>
      </c>
      <c r="C52" s="29" t="s">
        <v>64</v>
      </c>
      <c r="D52" s="105">
        <f>106007.53+5836.07</f>
        <v>111843.6</v>
      </c>
      <c r="E52" s="30"/>
      <c r="F52" s="17">
        <v>0</v>
      </c>
      <c r="G52" s="30"/>
      <c r="H52" s="30">
        <v>0</v>
      </c>
      <c r="I52" s="17">
        <v>0</v>
      </c>
      <c r="J52" s="101">
        <f t="shared" si="6"/>
        <v>23487.155999999999</v>
      </c>
      <c r="K52" s="100">
        <f t="shared" si="7"/>
        <v>135330.75599999999</v>
      </c>
      <c r="L52" s="32"/>
    </row>
    <row r="53" spans="2:12" s="98" customFormat="1" ht="31.5" x14ac:dyDescent="0.2">
      <c r="B53" s="99">
        <v>4.2</v>
      </c>
      <c r="C53" s="50" t="s">
        <v>62</v>
      </c>
      <c r="D53" s="100">
        <f>D54</f>
        <v>35996.18</v>
      </c>
      <c r="E53" s="100"/>
      <c r="F53" s="101">
        <v>0</v>
      </c>
      <c r="G53" s="101"/>
      <c r="H53" s="101">
        <v>241989.85</v>
      </c>
      <c r="I53" s="101">
        <v>0</v>
      </c>
      <c r="J53" s="101">
        <f t="shared" si="6"/>
        <v>7559.1977999999999</v>
      </c>
      <c r="K53" s="100">
        <f t="shared" si="7"/>
        <v>43555.377800000002</v>
      </c>
      <c r="L53" s="102"/>
    </row>
    <row r="54" spans="2:12" ht="15.75" x14ac:dyDescent="0.2">
      <c r="B54" s="28" t="s">
        <v>63</v>
      </c>
      <c r="C54" s="29" t="s">
        <v>61</v>
      </c>
      <c r="D54" s="33">
        <v>35996.18</v>
      </c>
      <c r="E54" s="33"/>
      <c r="F54" s="17">
        <v>0</v>
      </c>
      <c r="G54" s="30"/>
      <c r="H54" s="30">
        <v>37507.370000000003</v>
      </c>
      <c r="I54" s="17">
        <v>0</v>
      </c>
      <c r="J54" s="101">
        <f t="shared" si="6"/>
        <v>7559.1977999999999</v>
      </c>
      <c r="K54" s="100">
        <f t="shared" si="7"/>
        <v>43555.377800000002</v>
      </c>
      <c r="L54" s="34"/>
    </row>
    <row r="55" spans="2:12" ht="31.5" x14ac:dyDescent="0.2">
      <c r="B55" s="15">
        <v>4.3</v>
      </c>
      <c r="C55" s="16" t="s">
        <v>66</v>
      </c>
      <c r="D55" s="31">
        <f>D56</f>
        <v>16000</v>
      </c>
      <c r="E55" s="31"/>
      <c r="F55" s="17">
        <v>0</v>
      </c>
      <c r="G55" s="17"/>
      <c r="H55" s="17">
        <v>75000</v>
      </c>
      <c r="I55" s="17">
        <v>0</v>
      </c>
      <c r="J55" s="101">
        <f t="shared" si="6"/>
        <v>3360</v>
      </c>
      <c r="K55" s="100">
        <f t="shared" si="7"/>
        <v>19360</v>
      </c>
      <c r="L55" s="35"/>
    </row>
    <row r="56" spans="2:12" ht="15.75" x14ac:dyDescent="0.2">
      <c r="B56" s="28" t="s">
        <v>67</v>
      </c>
      <c r="C56" s="29" t="s">
        <v>61</v>
      </c>
      <c r="D56" s="33">
        <v>16000</v>
      </c>
      <c r="E56" s="33"/>
      <c r="F56" s="17">
        <v>0</v>
      </c>
      <c r="G56" s="30"/>
      <c r="H56" s="30">
        <v>75000</v>
      </c>
      <c r="I56" s="17">
        <v>0</v>
      </c>
      <c r="J56" s="101">
        <f t="shared" si="6"/>
        <v>3360</v>
      </c>
      <c r="K56" s="100">
        <f t="shared" si="7"/>
        <v>19360</v>
      </c>
      <c r="L56" s="34"/>
    </row>
    <row r="57" spans="2:12" ht="47.25" x14ac:dyDescent="0.2">
      <c r="B57" s="15">
        <v>4.4000000000000004</v>
      </c>
      <c r="C57" s="16" t="s">
        <v>68</v>
      </c>
      <c r="D57" s="17">
        <v>0</v>
      </c>
      <c r="E57" s="17"/>
      <c r="F57" s="17">
        <v>0</v>
      </c>
      <c r="G57" s="17"/>
      <c r="H57" s="17">
        <v>0</v>
      </c>
      <c r="I57" s="17">
        <v>0</v>
      </c>
      <c r="J57" s="101">
        <f t="shared" si="6"/>
        <v>0</v>
      </c>
      <c r="K57" s="100">
        <f t="shared" si="7"/>
        <v>0</v>
      </c>
      <c r="L57" s="18"/>
    </row>
    <row r="58" spans="2:12" ht="15.75" x14ac:dyDescent="0.2">
      <c r="B58" s="15">
        <v>4.5</v>
      </c>
      <c r="C58" s="16" t="s">
        <v>69</v>
      </c>
      <c r="D58" s="17">
        <v>0</v>
      </c>
      <c r="E58" s="17"/>
      <c r="F58" s="17">
        <v>0</v>
      </c>
      <c r="G58" s="17"/>
      <c r="H58" s="17">
        <v>0</v>
      </c>
      <c r="I58" s="17">
        <f t="shared" ref="I58:I59" si="8">D58*0.19</f>
        <v>0</v>
      </c>
      <c r="J58" s="101">
        <f t="shared" si="6"/>
        <v>0</v>
      </c>
      <c r="K58" s="100">
        <f t="shared" si="7"/>
        <v>0</v>
      </c>
      <c r="L58" s="18"/>
    </row>
    <row r="59" spans="2:12" ht="15.75" x14ac:dyDescent="0.2">
      <c r="B59" s="15">
        <v>4.5999999999999996</v>
      </c>
      <c r="C59" s="16" t="s">
        <v>70</v>
      </c>
      <c r="D59" s="17">
        <v>0</v>
      </c>
      <c r="E59" s="17"/>
      <c r="F59" s="17">
        <v>0</v>
      </c>
      <c r="G59" s="17"/>
      <c r="H59" s="17">
        <v>0</v>
      </c>
      <c r="I59" s="17">
        <f t="shared" si="8"/>
        <v>0</v>
      </c>
      <c r="J59" s="101">
        <f t="shared" si="6"/>
        <v>0</v>
      </c>
      <c r="K59" s="100">
        <f t="shared" si="7"/>
        <v>0</v>
      </c>
      <c r="L59" s="18"/>
    </row>
    <row r="60" spans="2:12" s="127" customFormat="1" ht="15.75" x14ac:dyDescent="0.2">
      <c r="B60" s="171" t="s">
        <v>71</v>
      </c>
      <c r="C60" s="172"/>
      <c r="D60" s="152">
        <f>D48+D53+D55+D57+D58+D59</f>
        <v>1963426.3099999998</v>
      </c>
      <c r="E60" s="109"/>
      <c r="F60" s="110">
        <v>0</v>
      </c>
      <c r="G60" s="110"/>
      <c r="H60" s="110">
        <f>H48+H53+H55+H57+H58+H59</f>
        <v>2723850.73</v>
      </c>
      <c r="I60" s="110">
        <v>0</v>
      </c>
      <c r="J60" s="110">
        <f t="shared" si="6"/>
        <v>412319.52509999997</v>
      </c>
      <c r="K60" s="109">
        <f t="shared" si="7"/>
        <v>2375745.8350999998</v>
      </c>
      <c r="L60" s="111"/>
    </row>
    <row r="61" spans="2:12" ht="15.75" x14ac:dyDescent="0.2">
      <c r="B61" s="164" t="s">
        <v>104</v>
      </c>
      <c r="C61" s="165"/>
      <c r="D61" s="165"/>
      <c r="E61" s="165"/>
      <c r="F61" s="165"/>
      <c r="G61" s="165"/>
      <c r="H61" s="165"/>
      <c r="I61" s="165"/>
      <c r="J61" s="165"/>
      <c r="K61" s="165"/>
      <c r="L61" s="166"/>
    </row>
    <row r="62" spans="2:12" ht="15.75" x14ac:dyDescent="0.2">
      <c r="B62" s="15">
        <v>5.0999999999999996</v>
      </c>
      <c r="C62" s="16" t="s">
        <v>72</v>
      </c>
      <c r="D62" s="31">
        <v>0</v>
      </c>
      <c r="E62" s="31"/>
      <c r="F62" s="17">
        <v>0</v>
      </c>
      <c r="G62" s="17"/>
      <c r="H62" s="17">
        <v>60000</v>
      </c>
      <c r="I62" s="17">
        <f>D62*0.21</f>
        <v>0</v>
      </c>
      <c r="J62" s="17">
        <v>0</v>
      </c>
      <c r="K62" s="31">
        <f t="shared" ref="K62:K75" si="9">D62+F62+I62</f>
        <v>0</v>
      </c>
      <c r="L62" s="35"/>
    </row>
    <row r="63" spans="2:12" ht="31.5" x14ac:dyDescent="0.2">
      <c r="B63" s="19" t="s">
        <v>73</v>
      </c>
      <c r="C63" s="16" t="s">
        <v>74</v>
      </c>
      <c r="D63" s="31">
        <v>0</v>
      </c>
      <c r="E63" s="31"/>
      <c r="F63" s="17">
        <v>0</v>
      </c>
      <c r="G63" s="17"/>
      <c r="H63" s="17">
        <v>50000</v>
      </c>
      <c r="I63" s="17">
        <f>D63*0.21</f>
        <v>0</v>
      </c>
      <c r="J63" s="17">
        <v>0</v>
      </c>
      <c r="K63" s="31">
        <f t="shared" si="9"/>
        <v>0</v>
      </c>
      <c r="L63" s="35"/>
    </row>
    <row r="64" spans="2:12" ht="15.75" x14ac:dyDescent="0.2">
      <c r="B64" s="25" t="s">
        <v>75</v>
      </c>
      <c r="C64" s="21" t="s">
        <v>76</v>
      </c>
      <c r="D64" s="36">
        <v>0</v>
      </c>
      <c r="E64" s="36"/>
      <c r="F64" s="17">
        <v>0</v>
      </c>
      <c r="G64" s="22"/>
      <c r="H64" s="23">
        <v>10000</v>
      </c>
      <c r="I64" s="17">
        <f>D64*0.21</f>
        <v>0</v>
      </c>
      <c r="J64" s="17">
        <v>0</v>
      </c>
      <c r="K64" s="31">
        <f t="shared" si="9"/>
        <v>0</v>
      </c>
      <c r="L64" s="37"/>
    </row>
    <row r="65" spans="1:13" ht="15.75" x14ac:dyDescent="0.2">
      <c r="A65" s="98"/>
      <c r="B65" s="99">
        <v>5.2</v>
      </c>
      <c r="C65" s="50" t="s">
        <v>77</v>
      </c>
      <c r="D65" s="100">
        <f>D66+D67+D68+D69+D70</f>
        <v>21421.689409999999</v>
      </c>
      <c r="E65" s="100"/>
      <c r="F65" s="101">
        <v>0</v>
      </c>
      <c r="G65" s="101"/>
      <c r="H65" s="101">
        <v>26977.06</v>
      </c>
      <c r="I65" s="101">
        <f>I66+I67+I68+I69+I70</f>
        <v>0</v>
      </c>
      <c r="J65" s="101">
        <v>0</v>
      </c>
      <c r="K65" s="100">
        <f t="shared" si="9"/>
        <v>21421.689409999999</v>
      </c>
      <c r="L65" s="102"/>
      <c r="M65" s="98"/>
    </row>
    <row r="66" spans="1:13" ht="31.5" x14ac:dyDescent="0.2">
      <c r="A66" s="98"/>
      <c r="B66" s="113" t="s">
        <v>78</v>
      </c>
      <c r="C66" s="50" t="s">
        <v>79</v>
      </c>
      <c r="D66" s="101">
        <v>0</v>
      </c>
      <c r="E66" s="101"/>
      <c r="F66" s="101">
        <v>0</v>
      </c>
      <c r="G66" s="101"/>
      <c r="H66" s="101">
        <v>0</v>
      </c>
      <c r="I66" s="101">
        <f>D66*0.21</f>
        <v>0</v>
      </c>
      <c r="J66" s="101">
        <v>0</v>
      </c>
      <c r="K66" s="100">
        <f t="shared" si="9"/>
        <v>0</v>
      </c>
      <c r="L66" s="112"/>
      <c r="M66" s="98"/>
    </row>
    <row r="67" spans="1:13" ht="31.5" x14ac:dyDescent="0.2">
      <c r="A67" s="98"/>
      <c r="B67" s="113" t="s">
        <v>80</v>
      </c>
      <c r="C67" s="50" t="s">
        <v>81</v>
      </c>
      <c r="D67" s="100">
        <f>D85*0.005</f>
        <v>9737.1315500000001</v>
      </c>
      <c r="E67" s="100"/>
      <c r="F67" s="101">
        <v>0</v>
      </c>
      <c r="G67" s="101"/>
      <c r="H67" s="101">
        <v>12262.3</v>
      </c>
      <c r="I67" s="101">
        <v>0</v>
      </c>
      <c r="J67" s="101">
        <v>0</v>
      </c>
      <c r="K67" s="100">
        <f t="shared" si="9"/>
        <v>9737.1315500000001</v>
      </c>
      <c r="L67" s="102"/>
      <c r="M67" s="98"/>
    </row>
    <row r="68" spans="1:13" ht="47.25" x14ac:dyDescent="0.2">
      <c r="A68" s="98"/>
      <c r="B68" s="113" t="s">
        <v>82</v>
      </c>
      <c r="C68" s="50" t="s">
        <v>83</v>
      </c>
      <c r="D68" s="100">
        <f>D85*0.001</f>
        <v>1947.4263099999998</v>
      </c>
      <c r="E68" s="101"/>
      <c r="F68" s="101">
        <v>0</v>
      </c>
      <c r="G68" s="101"/>
      <c r="H68" s="101">
        <v>2452.46</v>
      </c>
      <c r="I68" s="101">
        <v>0</v>
      </c>
      <c r="J68" s="101">
        <v>0</v>
      </c>
      <c r="K68" s="100">
        <f t="shared" si="9"/>
        <v>1947.4263099999998</v>
      </c>
      <c r="L68" s="112"/>
      <c r="M68" s="98"/>
    </row>
    <row r="69" spans="1:13" ht="31.5" x14ac:dyDescent="0.2">
      <c r="A69" s="98"/>
      <c r="B69" s="113" t="s">
        <v>84</v>
      </c>
      <c r="C69" s="50" t="s">
        <v>85</v>
      </c>
      <c r="D69" s="100">
        <f>D85*0.005</f>
        <v>9737.1315500000001</v>
      </c>
      <c r="E69" s="100"/>
      <c r="F69" s="101">
        <v>0</v>
      </c>
      <c r="G69" s="101"/>
      <c r="H69" s="101">
        <v>12262.3</v>
      </c>
      <c r="I69" s="101">
        <v>0</v>
      </c>
      <c r="J69" s="101">
        <v>0</v>
      </c>
      <c r="K69" s="100">
        <f t="shared" si="9"/>
        <v>9737.1315500000001</v>
      </c>
      <c r="L69" s="102"/>
      <c r="M69" s="98"/>
    </row>
    <row r="70" spans="1:13" ht="31.5" x14ac:dyDescent="0.2">
      <c r="A70" s="98"/>
      <c r="B70" s="113" t="s">
        <v>86</v>
      </c>
      <c r="C70" s="50" t="s">
        <v>87</v>
      </c>
      <c r="D70" s="101">
        <v>0</v>
      </c>
      <c r="E70" s="101"/>
      <c r="F70" s="101">
        <v>0</v>
      </c>
      <c r="G70" s="101"/>
      <c r="H70" s="101">
        <v>0</v>
      </c>
      <c r="I70" s="101">
        <f>D70*0.21</f>
        <v>0</v>
      </c>
      <c r="J70" s="101">
        <v>0</v>
      </c>
      <c r="K70" s="100">
        <f t="shared" si="9"/>
        <v>0</v>
      </c>
      <c r="L70" s="112"/>
      <c r="M70" s="98"/>
    </row>
    <row r="71" spans="1:13" ht="15.75" x14ac:dyDescent="0.2">
      <c r="A71" s="98"/>
      <c r="B71" s="99">
        <v>5.3</v>
      </c>
      <c r="C71" s="50" t="s">
        <v>88</v>
      </c>
      <c r="D71" s="100">
        <v>301798.12</v>
      </c>
      <c r="E71" s="100"/>
      <c r="F71" s="101">
        <v>0</v>
      </c>
      <c r="G71" s="101"/>
      <c r="H71" s="101">
        <v>242302.81</v>
      </c>
      <c r="I71" s="101">
        <v>0</v>
      </c>
      <c r="J71" s="101">
        <f>D71*0.21</f>
        <v>63377.605199999998</v>
      </c>
      <c r="K71" s="100">
        <f t="shared" si="9"/>
        <v>301798.12</v>
      </c>
      <c r="L71" s="102"/>
      <c r="M71" s="98"/>
    </row>
    <row r="72" spans="1:13" ht="15.75" x14ac:dyDescent="0.2">
      <c r="A72" s="98"/>
      <c r="B72" s="99">
        <v>5.4</v>
      </c>
      <c r="C72" s="50" t="s">
        <v>89</v>
      </c>
      <c r="D72" s="100">
        <v>2000</v>
      </c>
      <c r="E72" s="101"/>
      <c r="F72" s="101">
        <v>0</v>
      </c>
      <c r="G72" s="101"/>
      <c r="H72" s="101">
        <v>2000</v>
      </c>
      <c r="I72" s="101">
        <f>I73+J74</f>
        <v>416.47899999999998</v>
      </c>
      <c r="J72" s="101">
        <v>0</v>
      </c>
      <c r="K72" s="100">
        <f t="shared" si="9"/>
        <v>2416.4789999999998</v>
      </c>
      <c r="L72" s="112"/>
      <c r="M72" s="98"/>
    </row>
    <row r="73" spans="1:13" ht="31.5" x14ac:dyDescent="0.2">
      <c r="A73" s="98"/>
      <c r="B73" s="153" t="s">
        <v>115</v>
      </c>
      <c r="C73" s="50" t="s">
        <v>117</v>
      </c>
      <c r="D73" s="100">
        <v>176.05</v>
      </c>
      <c r="E73" s="101"/>
      <c r="F73" s="101">
        <v>0</v>
      </c>
      <c r="G73" s="101"/>
      <c r="H73" s="101"/>
      <c r="I73" s="101">
        <f>D73*0.19</f>
        <v>33.4495</v>
      </c>
      <c r="J73" s="101">
        <v>0</v>
      </c>
      <c r="K73" s="100">
        <f>I73+D73</f>
        <v>209.49950000000001</v>
      </c>
      <c r="L73" s="112"/>
      <c r="M73" s="98"/>
    </row>
    <row r="74" spans="1:13" ht="31.5" x14ac:dyDescent="0.2">
      <c r="A74" s="98"/>
      <c r="B74" s="153" t="s">
        <v>116</v>
      </c>
      <c r="C74" s="50" t="s">
        <v>121</v>
      </c>
      <c r="D74" s="100">
        <v>1823.95</v>
      </c>
      <c r="E74" s="101"/>
      <c r="F74" s="101">
        <v>0</v>
      </c>
      <c r="G74" s="101"/>
      <c r="H74" s="101"/>
      <c r="I74" s="101">
        <v>0</v>
      </c>
      <c r="J74" s="101">
        <f>D74*0.21</f>
        <v>383.02949999999998</v>
      </c>
      <c r="K74" s="100">
        <f>J74+D74</f>
        <v>2206.9794999999999</v>
      </c>
      <c r="L74" s="112"/>
      <c r="M74" s="98"/>
    </row>
    <row r="75" spans="1:13" s="126" customFormat="1" ht="15.75" x14ac:dyDescent="0.2">
      <c r="A75" s="127"/>
      <c r="B75" s="171" t="s">
        <v>90</v>
      </c>
      <c r="C75" s="172"/>
      <c r="D75" s="109">
        <f>D62+D65+D71+D72</f>
        <v>325219.80940999999</v>
      </c>
      <c r="E75" s="109"/>
      <c r="F75" s="110">
        <v>0</v>
      </c>
      <c r="G75" s="110"/>
      <c r="H75" s="110">
        <f>H62+H65+H71+H72</f>
        <v>331279.87</v>
      </c>
      <c r="I75" s="110">
        <f>I62+I65+I71+I73</f>
        <v>33.4495</v>
      </c>
      <c r="J75" s="110">
        <f>J74+J71</f>
        <v>63760.634699999995</v>
      </c>
      <c r="K75" s="109">
        <f t="shared" si="9"/>
        <v>325253.25890999998</v>
      </c>
      <c r="L75" s="111"/>
      <c r="M75" s="127"/>
    </row>
    <row r="76" spans="1:13" ht="15.75" x14ac:dyDescent="0.2">
      <c r="A76" s="98"/>
      <c r="B76" s="192" t="s">
        <v>110</v>
      </c>
      <c r="C76" s="193"/>
      <c r="D76" s="193"/>
      <c r="E76" s="193"/>
      <c r="F76" s="193"/>
      <c r="G76" s="193"/>
      <c r="H76" s="193"/>
      <c r="I76" s="193"/>
      <c r="J76" s="193"/>
      <c r="K76" s="193"/>
      <c r="L76" s="194"/>
      <c r="M76" s="98"/>
    </row>
    <row r="77" spans="1:13" ht="15.75" x14ac:dyDescent="0.2">
      <c r="B77" s="15">
        <v>6.1</v>
      </c>
      <c r="C77" s="16" t="s">
        <v>91</v>
      </c>
      <c r="D77" s="17">
        <v>0</v>
      </c>
      <c r="E77" s="17">
        <v>0</v>
      </c>
      <c r="F77" s="17">
        <v>0</v>
      </c>
      <c r="G77" s="17">
        <v>0</v>
      </c>
      <c r="H77" s="17"/>
      <c r="I77" s="17">
        <v>0</v>
      </c>
      <c r="J77" s="17">
        <v>0</v>
      </c>
      <c r="K77" s="17">
        <v>0</v>
      </c>
      <c r="L77" s="18">
        <v>0</v>
      </c>
    </row>
    <row r="78" spans="1:13" ht="15.75" x14ac:dyDescent="0.2">
      <c r="B78" s="15">
        <v>6.2</v>
      </c>
      <c r="C78" s="16" t="s">
        <v>92</v>
      </c>
      <c r="D78" s="17">
        <v>0</v>
      </c>
      <c r="E78" s="17">
        <v>0</v>
      </c>
      <c r="F78" s="17">
        <v>0</v>
      </c>
      <c r="G78" s="17">
        <v>0</v>
      </c>
      <c r="H78" s="17"/>
      <c r="I78" s="17">
        <v>0</v>
      </c>
      <c r="J78" s="17">
        <v>0</v>
      </c>
      <c r="K78" s="17">
        <v>0</v>
      </c>
      <c r="L78" s="18">
        <v>0</v>
      </c>
    </row>
    <row r="79" spans="1:13" ht="15.75" x14ac:dyDescent="0.2">
      <c r="B79" s="167" t="s">
        <v>93</v>
      </c>
      <c r="C79" s="168"/>
      <c r="D79" s="26">
        <v>0</v>
      </c>
      <c r="E79" s="26">
        <v>0</v>
      </c>
      <c r="F79" s="26">
        <v>0</v>
      </c>
      <c r="G79" s="26">
        <v>0</v>
      </c>
      <c r="H79" s="26"/>
      <c r="I79" s="26">
        <v>0</v>
      </c>
      <c r="J79" s="26">
        <v>0</v>
      </c>
      <c r="K79" s="26">
        <v>0</v>
      </c>
      <c r="L79" s="27">
        <v>0</v>
      </c>
    </row>
    <row r="80" spans="1:13" ht="15.75" x14ac:dyDescent="0.2">
      <c r="B80" s="164" t="s">
        <v>106</v>
      </c>
      <c r="C80" s="165"/>
      <c r="D80" s="165"/>
      <c r="E80" s="165"/>
      <c r="F80" s="165"/>
      <c r="G80" s="165"/>
      <c r="H80" s="165"/>
      <c r="I80" s="165"/>
      <c r="J80" s="165"/>
      <c r="K80" s="165"/>
      <c r="L80" s="166"/>
    </row>
    <row r="81" spans="1:15" ht="15.75" x14ac:dyDescent="0.2">
      <c r="B81" s="15">
        <v>7.1</v>
      </c>
      <c r="C81" s="16" t="s">
        <v>94</v>
      </c>
      <c r="D81" s="17">
        <v>0</v>
      </c>
      <c r="E81" s="17">
        <v>0</v>
      </c>
      <c r="F81" s="31">
        <v>0</v>
      </c>
      <c r="G81" s="31">
        <v>60758.96</v>
      </c>
      <c r="H81" s="31">
        <v>60758.96</v>
      </c>
      <c r="I81" s="17">
        <f>F81*0.21</f>
        <v>0</v>
      </c>
      <c r="J81" s="17"/>
      <c r="K81" s="31">
        <f t="shared" ref="K81" si="10">D81+F81+I81</f>
        <v>0</v>
      </c>
      <c r="L81" s="35"/>
    </row>
    <row r="82" spans="1:15" ht="31.5" x14ac:dyDescent="0.2">
      <c r="B82" s="15">
        <v>7.2</v>
      </c>
      <c r="C82" s="16" t="s">
        <v>95</v>
      </c>
      <c r="D82" s="17">
        <v>0</v>
      </c>
      <c r="E82" s="17">
        <v>0</v>
      </c>
      <c r="F82" s="31">
        <v>137992.24</v>
      </c>
      <c r="G82" s="31">
        <v>88900.28</v>
      </c>
      <c r="H82" s="31">
        <v>88900.28</v>
      </c>
      <c r="I82" s="17">
        <v>0</v>
      </c>
      <c r="J82" s="17">
        <f>F82*0.21</f>
        <v>28978.370399999996</v>
      </c>
      <c r="K82" s="31">
        <f>D82+F82+I82+J82</f>
        <v>166970.61039999998</v>
      </c>
      <c r="L82" s="35"/>
    </row>
    <row r="83" spans="1:15" s="126" customFormat="1" ht="15.75" x14ac:dyDescent="0.2">
      <c r="B83" s="167" t="s">
        <v>96</v>
      </c>
      <c r="C83" s="168"/>
      <c r="D83" s="26">
        <f>D81+D82</f>
        <v>0</v>
      </c>
      <c r="E83" s="26">
        <v>0</v>
      </c>
      <c r="F83" s="26">
        <f>F81+F82</f>
        <v>137992.24</v>
      </c>
      <c r="G83" s="26">
        <f t="shared" ref="G83:H83" si="11">G81+G82</f>
        <v>149659.24</v>
      </c>
      <c r="H83" s="26">
        <f t="shared" si="11"/>
        <v>149659.24</v>
      </c>
      <c r="I83" s="26">
        <f>I81+I82</f>
        <v>0</v>
      </c>
      <c r="J83" s="26">
        <f>F83*0.21</f>
        <v>28978.370399999996</v>
      </c>
      <c r="K83" s="31">
        <f>D83+F83+I83+J83</f>
        <v>166970.61039999998</v>
      </c>
      <c r="L83" s="38"/>
    </row>
    <row r="84" spans="1:15" ht="15.75" x14ac:dyDescent="0.2">
      <c r="A84" s="98"/>
      <c r="B84" s="169" t="s">
        <v>98</v>
      </c>
      <c r="C84" s="170"/>
      <c r="D84" s="92">
        <f>D15+D18+D46+D60+D75+D79+D83</f>
        <v>2369069.4760766663</v>
      </c>
      <c r="E84" s="92">
        <f>E15+E18+E46+E60+E75+E79+E83</f>
        <v>0</v>
      </c>
      <c r="F84" s="92">
        <f>F15+F18+F46+F60+F75+F79+F83</f>
        <v>148825.56999999998</v>
      </c>
      <c r="G84" s="92">
        <f>G15+G18+G46+G60+G75+G79+G83</f>
        <v>149659.24</v>
      </c>
      <c r="H84" s="92">
        <f>H15+H18+H46+H60+H75+H79+H83</f>
        <v>3296604.0200000005</v>
      </c>
      <c r="I84" s="92">
        <f>I15+I18+I46+I60+I75+I79+I83</f>
        <v>11037.300766666664</v>
      </c>
      <c r="J84" s="92">
        <f>J83+J75+J79+J60+J46</f>
        <v>512060.283</v>
      </c>
      <c r="K84" s="121">
        <f>D84+F84+I84+J84</f>
        <v>3040992.6298433328</v>
      </c>
      <c r="L84" s="122"/>
      <c r="M84" s="98"/>
      <c r="N84" s="98"/>
      <c r="O84" s="98"/>
    </row>
    <row r="85" spans="1:15" ht="15.75" x14ac:dyDescent="0.2">
      <c r="A85" s="98"/>
      <c r="B85" s="171" t="s">
        <v>97</v>
      </c>
      <c r="C85" s="172"/>
      <c r="D85" s="110">
        <f>D15+D18+D48+D53+D63</f>
        <v>1947426.3099999998</v>
      </c>
      <c r="E85" s="110">
        <f>E15+E18+E48+E53+E63</f>
        <v>0</v>
      </c>
      <c r="F85" s="110">
        <f>F15+F18+F48+F53+F63</f>
        <v>0</v>
      </c>
      <c r="G85" s="110">
        <f>G15+G18+G48+G53+G63</f>
        <v>0</v>
      </c>
      <c r="H85" s="110">
        <f>H15+H18+H48+H53+H63</f>
        <v>2698850.73</v>
      </c>
      <c r="I85" s="110">
        <v>0</v>
      </c>
      <c r="J85" s="110">
        <f>D85*0.21</f>
        <v>408959.52509999997</v>
      </c>
      <c r="K85" s="110">
        <f>D85+F85+I85</f>
        <v>1947426.3099999998</v>
      </c>
      <c r="L85" s="111"/>
      <c r="M85" s="98"/>
      <c r="N85" s="98"/>
      <c r="O85" s="98"/>
    </row>
    <row r="86" spans="1:15" x14ac:dyDescent="0.2">
      <c r="A86" s="98"/>
      <c r="B86" s="3"/>
      <c r="C86" s="3"/>
      <c r="D86" s="123"/>
      <c r="E86" s="123"/>
      <c r="F86" s="123"/>
      <c r="G86" s="123"/>
      <c r="H86" s="123"/>
      <c r="I86" s="123"/>
      <c r="J86" s="123"/>
      <c r="K86" s="123"/>
      <c r="L86" s="124"/>
      <c r="M86" s="98"/>
      <c r="N86" s="98"/>
      <c r="O86" s="98"/>
    </row>
    <row r="87" spans="1:15" x14ac:dyDescent="0.2">
      <c r="A87" s="98"/>
      <c r="B87" s="3"/>
      <c r="C87" s="3"/>
      <c r="D87" s="123"/>
      <c r="E87" s="123"/>
      <c r="F87" s="123"/>
      <c r="G87" s="123"/>
      <c r="H87" s="123"/>
      <c r="I87" s="123"/>
      <c r="J87" s="123"/>
      <c r="K87" s="123"/>
      <c r="L87" s="124"/>
      <c r="M87" s="98"/>
      <c r="N87" s="98"/>
      <c r="O87" s="98"/>
    </row>
    <row r="88" spans="1:15" x14ac:dyDescent="0.2">
      <c r="A88" s="98"/>
      <c r="B88" s="3"/>
      <c r="C88" s="3"/>
      <c r="D88" s="123"/>
      <c r="E88" s="123"/>
      <c r="F88" s="123"/>
      <c r="G88" s="123"/>
      <c r="H88" s="123"/>
      <c r="I88" s="123"/>
      <c r="J88" s="123"/>
      <c r="K88" s="123"/>
      <c r="L88" s="124"/>
      <c r="M88" s="98"/>
      <c r="N88" s="98"/>
      <c r="O88" s="98"/>
    </row>
    <row r="89" spans="1:15" s="86" customFormat="1" ht="15.75" x14ac:dyDescent="0.25">
      <c r="B89" s="173"/>
      <c r="C89" s="173"/>
      <c r="D89" s="173"/>
      <c r="E89" s="173"/>
      <c r="F89" s="173"/>
      <c r="G89" s="173"/>
      <c r="H89" s="173"/>
      <c r="I89" s="173"/>
      <c r="J89" s="173"/>
      <c r="K89" s="173"/>
      <c r="L89" s="173"/>
    </row>
    <row r="90" spans="1:15" ht="15.75" x14ac:dyDescent="0.25">
      <c r="B90" s="2"/>
      <c r="C90" s="163" t="s">
        <v>148</v>
      </c>
      <c r="D90" s="205"/>
      <c r="E90" s="205"/>
      <c r="F90" s="205"/>
      <c r="G90" s="205"/>
      <c r="H90" s="205"/>
      <c r="I90" s="205" t="s">
        <v>134</v>
      </c>
      <c r="J90" s="205"/>
      <c r="K90" s="2"/>
      <c r="L90" s="2"/>
    </row>
    <row r="91" spans="1:15" ht="15.75" x14ac:dyDescent="0.2">
      <c r="C91" s="207" t="s">
        <v>147</v>
      </c>
      <c r="D91" s="85"/>
      <c r="E91" s="85"/>
      <c r="F91" s="208" t="s">
        <v>149</v>
      </c>
      <c r="G91" s="208"/>
      <c r="H91" s="208"/>
      <c r="I91" s="208"/>
      <c r="J91" s="208"/>
    </row>
  </sheetData>
  <mergeCells count="25">
    <mergeCell ref="F91:J91"/>
    <mergeCell ref="B5:L5"/>
    <mergeCell ref="B6:B7"/>
    <mergeCell ref="C6:C7"/>
    <mergeCell ref="D6:E6"/>
    <mergeCell ref="F6:G6"/>
    <mergeCell ref="K6:L6"/>
    <mergeCell ref="I6:J6"/>
    <mergeCell ref="B79:C79"/>
    <mergeCell ref="B10:L10"/>
    <mergeCell ref="B15:C15"/>
    <mergeCell ref="B17:L17"/>
    <mergeCell ref="B18:C18"/>
    <mergeCell ref="B19:L19"/>
    <mergeCell ref="B46:C46"/>
    <mergeCell ref="B47:L47"/>
    <mergeCell ref="B60:C60"/>
    <mergeCell ref="B61:L61"/>
    <mergeCell ref="B75:C75"/>
    <mergeCell ref="B76:L76"/>
    <mergeCell ref="B80:L80"/>
    <mergeCell ref="B83:C83"/>
    <mergeCell ref="B84:C84"/>
    <mergeCell ref="B85:C85"/>
    <mergeCell ref="B89:L8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bloc 36</vt:lpstr>
      <vt:lpstr>bloc 37</vt:lpstr>
      <vt:lpstr>bloc 38</vt:lpstr>
      <vt:lpstr>bloc 39</vt:lpstr>
      <vt:lpstr>bloc40</vt:lpstr>
      <vt:lpstr>bloc 41</vt:lpstr>
      <vt:lpstr>bloc 42</vt:lpstr>
      <vt:lpstr>bloc 43</vt:lpstr>
      <vt:lpstr>bloc 44</vt:lpstr>
      <vt:lpstr>bloc 45</vt:lpstr>
      <vt:lpstr>bloc 46</vt:lpstr>
      <vt:lpstr>bloc 47</vt:lpstr>
      <vt:lpstr>Deviz general</vt:lpstr>
      <vt:lpstr>'bloc 36'!Print_Area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Avizare Proiectare</dc:creator>
  <cp:lastModifiedBy>Ascunseanu Liviu</cp:lastModifiedBy>
  <cp:lastPrinted>2025-09-11T08:15:39Z</cp:lastPrinted>
  <dcterms:created xsi:type="dcterms:W3CDTF">2024-04-10T12:13:16Z</dcterms:created>
  <dcterms:modified xsi:type="dcterms:W3CDTF">2026-04-16T07:27:52Z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2024-04-02T00:00:00Z</vt:filetime>
  </property>
  <property fmtid="{D5CDD505-2E9C-101B-9397-08002B2CF9AE}" pid="3" name="Creator">
    <vt:lpwstr>JasperReports Library version 6.0.0</vt:lpwstr>
  </property>
  <property fmtid="{D5CDD505-2E9C-101B-9397-08002B2CF9AE}" pid="4" name="LastSaved">
    <vt:filetime>2024-04-10T00:00:00Z</vt:filetime>
  </property>
  <property fmtid="{D5CDD505-2E9C-101B-9397-08002B2CF9AE}" pid="5" name="Producer">
    <vt:lpwstr>iText® 5.5.0 ©2000-2013 iText Group NV (AGPL-version)</vt:lpwstr>
  </property>
</Properties>
</file>