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00" firstSheet="3" activeTab="4"/>
  </bookViews>
  <sheets>
    <sheet name="CHIRIA 2024 10.4 (2)" sheetId="1" state="hidden" r:id="rId1"/>
    <sheet name="CHIRIA 2024 10.4" sheetId="2" state="hidden" r:id="rId2"/>
    <sheet name="Calcul chirie 2024 (supr. m" sheetId="4" state="hidden" r:id="rId3"/>
    <sheet name="Chirii_ 2026" sheetId="6" r:id="rId4"/>
    <sheet name="Chirii_ 2026_Novac" sheetId="8" r:id="rId5"/>
    <sheet name="Sheet1" sheetId="7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8" l="1"/>
  <c r="Z16" i="8"/>
  <c r="Y16" i="8"/>
  <c r="V16" i="8"/>
  <c r="U16" i="8"/>
  <c r="I16" i="8"/>
  <c r="E16" i="8"/>
  <c r="T16" i="8"/>
  <c r="X15" i="8"/>
  <c r="X16" i="8" s="1"/>
  <c r="S15" i="8"/>
  <c r="S16" i="8" s="1"/>
  <c r="F15" i="8"/>
  <c r="F16" i="8" s="1"/>
  <c r="G15" i="8" l="1"/>
  <c r="AB15" i="8"/>
  <c r="H15" i="8"/>
  <c r="H16" i="8" s="1"/>
  <c r="AF178" i="6"/>
  <c r="AF179" i="6"/>
  <c r="AF180" i="6"/>
  <c r="AF181" i="6"/>
  <c r="AF182" i="6"/>
  <c r="AF183" i="6"/>
  <c r="AF184" i="6"/>
  <c r="AF185" i="6"/>
  <c r="AF186" i="6"/>
  <c r="AF177" i="6"/>
  <c r="AE178" i="6"/>
  <c r="AE179" i="6"/>
  <c r="AE180" i="6"/>
  <c r="AE181" i="6"/>
  <c r="AE182" i="6"/>
  <c r="AE183" i="6"/>
  <c r="AE184" i="6"/>
  <c r="AE185" i="6"/>
  <c r="AE186" i="6"/>
  <c r="AE177" i="6"/>
  <c r="AC178" i="6"/>
  <c r="AC179" i="6"/>
  <c r="AC180" i="6"/>
  <c r="AC181" i="6"/>
  <c r="AC182" i="6"/>
  <c r="AC183" i="6"/>
  <c r="AC184" i="6"/>
  <c r="AC185" i="6"/>
  <c r="AC186" i="6"/>
  <c r="AC177" i="6"/>
  <c r="AB186" i="6"/>
  <c r="S186" i="6"/>
  <c r="AF221" i="6"/>
  <c r="AF222" i="6"/>
  <c r="AF223" i="6"/>
  <c r="AF224" i="6"/>
  <c r="AF225" i="6"/>
  <c r="AF226" i="6"/>
  <c r="AF227" i="6"/>
  <c r="AF228" i="6"/>
  <c r="AE221" i="6"/>
  <c r="AE222" i="6"/>
  <c r="AE223" i="6"/>
  <c r="AE224" i="6"/>
  <c r="AE225" i="6"/>
  <c r="AE226" i="6"/>
  <c r="AE227" i="6"/>
  <c r="AE228" i="6"/>
  <c r="AC221" i="6"/>
  <c r="AC222" i="6"/>
  <c r="AC223" i="6"/>
  <c r="AC224" i="6"/>
  <c r="AC225" i="6"/>
  <c r="AC226" i="6"/>
  <c r="AC227" i="6"/>
  <c r="AC228" i="6"/>
  <c r="AB227" i="6"/>
  <c r="W227" i="6"/>
  <c r="T227" i="6"/>
  <c r="AB40" i="6"/>
  <c r="W40" i="6"/>
  <c r="K14" i="6"/>
  <c r="AF15" i="6"/>
  <c r="AF16" i="6"/>
  <c r="AF17" i="6"/>
  <c r="AF18" i="6"/>
  <c r="AF19" i="6"/>
  <c r="AF13" i="6"/>
  <c r="AE14" i="6"/>
  <c r="AE15" i="6"/>
  <c r="AE16" i="6"/>
  <c r="AE17" i="6"/>
  <c r="AE18" i="6"/>
  <c r="AE19" i="6"/>
  <c r="AE13" i="6"/>
  <c r="AC14" i="6"/>
  <c r="AF14" i="6" s="1"/>
  <c r="AC15" i="6"/>
  <c r="AC16" i="6"/>
  <c r="AC17" i="6"/>
  <c r="AC18" i="6"/>
  <c r="AC19" i="6"/>
  <c r="AC13" i="6"/>
  <c r="H14" i="6"/>
  <c r="H15" i="6"/>
  <c r="H16" i="6"/>
  <c r="H17" i="6"/>
  <c r="H18" i="6"/>
  <c r="H19" i="6"/>
  <c r="H13" i="6"/>
  <c r="K41" i="6"/>
  <c r="AC41" i="6"/>
  <c r="K33" i="6"/>
  <c r="K34" i="6"/>
  <c r="K35" i="6"/>
  <c r="K36" i="6"/>
  <c r="K37" i="6"/>
  <c r="K38" i="6"/>
  <c r="K39" i="6"/>
  <c r="K40" i="6"/>
  <c r="J33" i="6"/>
  <c r="J34" i="6"/>
  <c r="J35" i="6"/>
  <c r="J36" i="6"/>
  <c r="J37" i="6"/>
  <c r="J38" i="6"/>
  <c r="J39" i="6"/>
  <c r="J40" i="6"/>
  <c r="J32" i="6"/>
  <c r="AB34" i="6"/>
  <c r="S34" i="6"/>
  <c r="S40" i="6"/>
  <c r="AG116" i="6"/>
  <c r="AF115" i="6"/>
  <c r="AF116" i="6"/>
  <c r="AF117" i="6"/>
  <c r="AF118" i="6"/>
  <c r="AF114" i="6"/>
  <c r="AE115" i="6"/>
  <c r="AE116" i="6"/>
  <c r="AE117" i="6"/>
  <c r="AE118" i="6"/>
  <c r="AE119" i="6"/>
  <c r="AE114" i="6"/>
  <c r="AC116" i="6"/>
  <c r="AB116" i="6"/>
  <c r="S116" i="6"/>
  <c r="AB16" i="8" l="1"/>
  <c r="AD15" i="8"/>
  <c r="AE15" i="8"/>
  <c r="G16" i="8"/>
  <c r="J15" i="8"/>
  <c r="Z36" i="6"/>
  <c r="W62" i="6"/>
  <c r="S62" i="6"/>
  <c r="J16" i="8" l="1"/>
  <c r="K15" i="8"/>
  <c r="M15" i="8"/>
  <c r="AE16" i="8"/>
  <c r="AD16" i="8"/>
  <c r="AB58" i="6"/>
  <c r="AD58" i="6" s="1"/>
  <c r="W58" i="6"/>
  <c r="S58" i="6"/>
  <c r="AB61" i="6"/>
  <c r="AD61" i="6" s="1"/>
  <c r="S61" i="6"/>
  <c r="W61" i="6" s="1"/>
  <c r="AB62" i="6"/>
  <c r="AD62" i="6" s="1"/>
  <c r="AB90" i="6"/>
  <c r="Y90" i="6"/>
  <c r="S90" i="6"/>
  <c r="Y154" i="6"/>
  <c r="Z154" i="6" s="1"/>
  <c r="S154" i="6"/>
  <c r="AG221" i="6"/>
  <c r="AG222" i="6"/>
  <c r="AG223" i="6"/>
  <c r="AG224" i="6"/>
  <c r="AG225" i="6"/>
  <c r="AG226" i="6"/>
  <c r="AG227" i="6"/>
  <c r="AG228" i="6"/>
  <c r="AB154" i="6"/>
  <c r="AB153" i="6"/>
  <c r="AD153" i="6" s="1"/>
  <c r="Y153" i="6"/>
  <c r="Z153" i="6" s="1"/>
  <c r="S153" i="6"/>
  <c r="AD40" i="6"/>
  <c r="AD39" i="6"/>
  <c r="AD38" i="6"/>
  <c r="AD37" i="6"/>
  <c r="AD35" i="6"/>
  <c r="AD33" i="6"/>
  <c r="AD32" i="6"/>
  <c r="AC40" i="6"/>
  <c r="AF40" i="6" s="1"/>
  <c r="AC39" i="6"/>
  <c r="AF39" i="6" s="1"/>
  <c r="AC33" i="6"/>
  <c r="AB36" i="6"/>
  <c r="Y36" i="6"/>
  <c r="AC15" i="8" l="1"/>
  <c r="N15" i="8"/>
  <c r="K16" i="8"/>
  <c r="W16" i="8"/>
  <c r="O16" i="8"/>
  <c r="M16" i="8"/>
  <c r="S36" i="6"/>
  <c r="AC16" i="8" l="1"/>
  <c r="AF15" i="8"/>
  <c r="Q15" i="8"/>
  <c r="Q16" i="8" s="1"/>
  <c r="N16" i="8"/>
  <c r="P15" i="8"/>
  <c r="P16" i="8" s="1"/>
  <c r="F235" i="6"/>
  <c r="F228" i="6"/>
  <c r="F227" i="6"/>
  <c r="F226" i="6"/>
  <c r="F225" i="6"/>
  <c r="F224" i="6"/>
  <c r="F223" i="6"/>
  <c r="F222" i="6"/>
  <c r="F221" i="6"/>
  <c r="F220" i="6"/>
  <c r="F34" i="6"/>
  <c r="F33" i="6"/>
  <c r="F32" i="6"/>
  <c r="F40" i="6"/>
  <c r="F39" i="6"/>
  <c r="F38" i="6"/>
  <c r="F37" i="6"/>
  <c r="F36" i="6"/>
  <c r="F35" i="6"/>
  <c r="F19" i="6"/>
  <c r="F18" i="6"/>
  <c r="F17" i="6"/>
  <c r="F16" i="6"/>
  <c r="F15" i="6"/>
  <c r="F14" i="6"/>
  <c r="F13" i="6"/>
  <c r="M86" i="6"/>
  <c r="K86" i="6"/>
  <c r="N86" i="6" s="1"/>
  <c r="F86" i="6"/>
  <c r="H86" i="6" s="1"/>
  <c r="AF16" i="8" l="1"/>
  <c r="AG15" i="8"/>
  <c r="AG16" i="8" s="1"/>
  <c r="P86" i="6"/>
  <c r="O86" i="6"/>
  <c r="Q86" i="6"/>
  <c r="G86" i="6"/>
  <c r="I86" i="6"/>
  <c r="X220" i="6" l="1"/>
  <c r="AB220" i="6" s="1"/>
  <c r="AD220" i="6" s="1"/>
  <c r="S220" i="6"/>
  <c r="AG236" i="6" l="1"/>
  <c r="AF236" i="6"/>
  <c r="AE236" i="6"/>
  <c r="AD236" i="6"/>
  <c r="AC236" i="6"/>
  <c r="AB236" i="6"/>
  <c r="AA236" i="6"/>
  <c r="Z236" i="6"/>
  <c r="Y236" i="6"/>
  <c r="X236" i="6"/>
  <c r="W236" i="6"/>
  <c r="V236" i="6"/>
  <c r="U236" i="6"/>
  <c r="T236" i="6"/>
  <c r="S236" i="6"/>
  <c r="AD229" i="6"/>
  <c r="AB229" i="6"/>
  <c r="AA229" i="6"/>
  <c r="Z229" i="6"/>
  <c r="Y229" i="6"/>
  <c r="X229" i="6"/>
  <c r="W229" i="6"/>
  <c r="V229" i="6"/>
  <c r="U229" i="6"/>
  <c r="T229" i="6"/>
  <c r="S229" i="6"/>
  <c r="AG209" i="6"/>
  <c r="AF209" i="6"/>
  <c r="AE209" i="6"/>
  <c r="AD209" i="6"/>
  <c r="AC209" i="6"/>
  <c r="AB209" i="6"/>
  <c r="AA209" i="6"/>
  <c r="Z209" i="6"/>
  <c r="Y209" i="6"/>
  <c r="X209" i="6"/>
  <c r="W209" i="6"/>
  <c r="V209" i="6"/>
  <c r="U209" i="6"/>
  <c r="T209" i="6"/>
  <c r="S209" i="6"/>
  <c r="AG198" i="6"/>
  <c r="AF198" i="6"/>
  <c r="AE198" i="6"/>
  <c r="AD198" i="6"/>
  <c r="AC198" i="6"/>
  <c r="AB198" i="6"/>
  <c r="AA198" i="6"/>
  <c r="Z198" i="6"/>
  <c r="Y198" i="6"/>
  <c r="X198" i="6"/>
  <c r="W198" i="6"/>
  <c r="V198" i="6"/>
  <c r="U198" i="6"/>
  <c r="T198" i="6"/>
  <c r="S198" i="6"/>
  <c r="AG187" i="6"/>
  <c r="AF187" i="6"/>
  <c r="AE187" i="6"/>
  <c r="AD187" i="6"/>
  <c r="AC187" i="6"/>
  <c r="AB187" i="6"/>
  <c r="AA187" i="6"/>
  <c r="Z187" i="6"/>
  <c r="Y187" i="6"/>
  <c r="X187" i="6"/>
  <c r="W187" i="6"/>
  <c r="V187" i="6"/>
  <c r="U187" i="6"/>
  <c r="T187" i="6"/>
  <c r="S187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AG155" i="6"/>
  <c r="AD155" i="6"/>
  <c r="AB155" i="6"/>
  <c r="AA155" i="6"/>
  <c r="Y155" i="6"/>
  <c r="X155" i="6"/>
  <c r="V155" i="6"/>
  <c r="U155" i="6"/>
  <c r="T155" i="6"/>
  <c r="S155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AG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AD91" i="6"/>
  <c r="AB91" i="6"/>
  <c r="AA91" i="6"/>
  <c r="Z91" i="6"/>
  <c r="Y91" i="6"/>
  <c r="X91" i="6"/>
  <c r="V91" i="6"/>
  <c r="U91" i="6"/>
  <c r="T91" i="6"/>
  <c r="S91" i="6"/>
  <c r="W20" i="6"/>
  <c r="V20" i="6"/>
  <c r="W67" i="6"/>
  <c r="W79" i="6"/>
  <c r="AG79" i="6"/>
  <c r="AF79" i="6"/>
  <c r="AE79" i="6"/>
  <c r="AD79" i="6"/>
  <c r="AC79" i="6"/>
  <c r="AB79" i="6"/>
  <c r="AA79" i="6"/>
  <c r="Z79" i="6"/>
  <c r="Y79" i="6"/>
  <c r="X79" i="6"/>
  <c r="V79" i="6"/>
  <c r="U79" i="6"/>
  <c r="T79" i="6"/>
  <c r="S79" i="6"/>
  <c r="AD67" i="6"/>
  <c r="AB67" i="6"/>
  <c r="AA67" i="6"/>
  <c r="Z67" i="6"/>
  <c r="Y67" i="6"/>
  <c r="X67" i="6"/>
  <c r="V67" i="6"/>
  <c r="U67" i="6"/>
  <c r="T67" i="6"/>
  <c r="S67" i="6"/>
  <c r="AD41" i="6"/>
  <c r="AB41" i="6"/>
  <c r="AA41" i="6"/>
  <c r="Z41" i="6"/>
  <c r="Y41" i="6"/>
  <c r="X41" i="6"/>
  <c r="V41" i="6"/>
  <c r="U41" i="6"/>
  <c r="T41" i="6"/>
  <c r="S41" i="6"/>
  <c r="AG20" i="6"/>
  <c r="AF20" i="6"/>
  <c r="AE20" i="6"/>
  <c r="AD20" i="6"/>
  <c r="AC20" i="6"/>
  <c r="AB20" i="6"/>
  <c r="AA20" i="6"/>
  <c r="Z20" i="6"/>
  <c r="Y20" i="6"/>
  <c r="X20" i="6"/>
  <c r="U20" i="6"/>
  <c r="T20" i="6"/>
  <c r="S20" i="6"/>
  <c r="E20" i="6"/>
  <c r="F65" i="6"/>
  <c r="G65" i="6" s="1"/>
  <c r="F58" i="6"/>
  <c r="I58" i="6" s="1"/>
  <c r="G38" i="6"/>
  <c r="AE38" i="6" s="1"/>
  <c r="I36" i="6"/>
  <c r="I65" i="6" l="1"/>
  <c r="H58" i="6"/>
  <c r="G58" i="6"/>
  <c r="AE58" i="6" s="1"/>
  <c r="H65" i="6"/>
  <c r="I38" i="6"/>
  <c r="H38" i="6"/>
  <c r="H36" i="6"/>
  <c r="G36" i="6"/>
  <c r="AE36" i="6" s="1"/>
  <c r="J65" i="6" l="1"/>
  <c r="K65" i="6" s="1"/>
  <c r="N65" i="6" s="1"/>
  <c r="J58" i="6"/>
  <c r="K58" i="6" s="1"/>
  <c r="N36" i="6" l="1"/>
  <c r="Q36" i="6" s="1"/>
  <c r="AC36" i="6"/>
  <c r="AF36" i="6" s="1"/>
  <c r="AG36" i="6" s="1"/>
  <c r="N38" i="6"/>
  <c r="P38" i="6" s="1"/>
  <c r="AC38" i="6"/>
  <c r="N58" i="6"/>
  <c r="AC58" i="6"/>
  <c r="Q38" i="6"/>
  <c r="Q65" i="6"/>
  <c r="O65" i="6"/>
  <c r="P65" i="6"/>
  <c r="O38" i="6"/>
  <c r="O236" i="6"/>
  <c r="H236" i="6"/>
  <c r="G236" i="6"/>
  <c r="E236" i="6"/>
  <c r="I235" i="6"/>
  <c r="I236" i="6" s="1"/>
  <c r="I229" i="6"/>
  <c r="E229" i="6"/>
  <c r="M228" i="6"/>
  <c r="K228" i="6"/>
  <c r="G228" i="6"/>
  <c r="G227" i="6"/>
  <c r="M226" i="6"/>
  <c r="K226" i="6"/>
  <c r="G226" i="6"/>
  <c r="H225" i="6"/>
  <c r="H224" i="6"/>
  <c r="H223" i="6"/>
  <c r="H222" i="6"/>
  <c r="J222" i="6" s="1"/>
  <c r="M221" i="6"/>
  <c r="K221" i="6"/>
  <c r="N221" i="6" s="1"/>
  <c r="Q221" i="6" s="1"/>
  <c r="G221" i="6"/>
  <c r="G220" i="6"/>
  <c r="AE220" i="6" s="1"/>
  <c r="E209" i="6"/>
  <c r="M208" i="6"/>
  <c r="K208" i="6"/>
  <c r="N208" i="6" s="1"/>
  <c r="F208" i="6"/>
  <c r="I208" i="6" s="1"/>
  <c r="Q207" i="6"/>
  <c r="P207" i="6"/>
  <c r="O207" i="6"/>
  <c r="F207" i="6"/>
  <c r="H207" i="6" s="1"/>
  <c r="F206" i="6"/>
  <c r="G206" i="6" s="1"/>
  <c r="Q205" i="6"/>
  <c r="P205" i="6"/>
  <c r="O205" i="6"/>
  <c r="F205" i="6"/>
  <c r="I205" i="6" s="1"/>
  <c r="F204" i="6"/>
  <c r="I198" i="6"/>
  <c r="E198" i="6"/>
  <c r="F197" i="6"/>
  <c r="H197" i="6" s="1"/>
  <c r="H198" i="6" s="1"/>
  <c r="E187" i="6"/>
  <c r="F186" i="6"/>
  <c r="H186" i="6" s="1"/>
  <c r="Q185" i="6"/>
  <c r="P185" i="6"/>
  <c r="O185" i="6"/>
  <c r="M185" i="6"/>
  <c r="K185" i="6"/>
  <c r="F185" i="6"/>
  <c r="H185" i="6" s="1"/>
  <c r="F184" i="6"/>
  <c r="H184" i="6" s="1"/>
  <c r="M183" i="6"/>
  <c r="K183" i="6"/>
  <c r="N183" i="6" s="1"/>
  <c r="F183" i="6"/>
  <c r="H183" i="6" s="1"/>
  <c r="N182" i="6"/>
  <c r="Q182" i="6" s="1"/>
  <c r="F182" i="6"/>
  <c r="I182" i="6" s="1"/>
  <c r="F181" i="6"/>
  <c r="I181" i="6" s="1"/>
  <c r="J181" i="6" s="1"/>
  <c r="Q180" i="6"/>
  <c r="P180" i="6"/>
  <c r="O180" i="6"/>
  <c r="F180" i="6"/>
  <c r="I180" i="6" s="1"/>
  <c r="M179" i="6"/>
  <c r="K179" i="6"/>
  <c r="N179" i="6" s="1"/>
  <c r="Q179" i="6" s="1"/>
  <c r="F179" i="6"/>
  <c r="H179" i="6" s="1"/>
  <c r="M178" i="6"/>
  <c r="K178" i="6"/>
  <c r="N178" i="6" s="1"/>
  <c r="F178" i="6"/>
  <c r="H178" i="6" s="1"/>
  <c r="F177" i="6"/>
  <c r="E169" i="6"/>
  <c r="M168" i="6"/>
  <c r="K168" i="6"/>
  <c r="F168" i="6"/>
  <c r="H168" i="6" s="1"/>
  <c r="M167" i="6"/>
  <c r="K167" i="6"/>
  <c r="N167" i="6" s="1"/>
  <c r="P167" i="6" s="1"/>
  <c r="F167" i="6"/>
  <c r="H167" i="6" s="1"/>
  <c r="F166" i="6"/>
  <c r="H166" i="6" s="1"/>
  <c r="F165" i="6"/>
  <c r="H165" i="6" s="1"/>
  <c r="M164" i="6"/>
  <c r="K164" i="6"/>
  <c r="F164" i="6"/>
  <c r="H164" i="6" s="1"/>
  <c r="F163" i="6"/>
  <c r="E155" i="6"/>
  <c r="F154" i="6"/>
  <c r="H154" i="6" s="1"/>
  <c r="F153" i="6"/>
  <c r="H153" i="6" s="1"/>
  <c r="E140" i="6"/>
  <c r="Q139" i="6"/>
  <c r="P139" i="6"/>
  <c r="O139" i="6"/>
  <c r="M139" i="6"/>
  <c r="K139" i="6"/>
  <c r="F139" i="6"/>
  <c r="H139" i="6" s="1"/>
  <c r="F138" i="6"/>
  <c r="F137" i="6"/>
  <c r="H137" i="6" s="1"/>
  <c r="I129" i="6"/>
  <c r="F128" i="6"/>
  <c r="F129" i="6" s="1"/>
  <c r="E120" i="6"/>
  <c r="M119" i="6"/>
  <c r="K119" i="6"/>
  <c r="N119" i="6" s="1"/>
  <c r="F119" i="6"/>
  <c r="I119" i="6" s="1"/>
  <c r="F118" i="6"/>
  <c r="G118" i="6" s="1"/>
  <c r="F117" i="6"/>
  <c r="I117" i="6" s="1"/>
  <c r="J117" i="6" s="1"/>
  <c r="M116" i="6"/>
  <c r="K116" i="6"/>
  <c r="F116" i="6"/>
  <c r="H116" i="6" s="1"/>
  <c r="Q115" i="6"/>
  <c r="P115" i="6"/>
  <c r="O115" i="6"/>
  <c r="F115" i="6"/>
  <c r="H115" i="6" s="1"/>
  <c r="F114" i="6"/>
  <c r="G114" i="6" s="1"/>
  <c r="I102" i="6"/>
  <c r="E102" i="6"/>
  <c r="N101" i="6"/>
  <c r="P101" i="6" s="1"/>
  <c r="F101" i="6"/>
  <c r="H101" i="6" s="1"/>
  <c r="F100" i="6"/>
  <c r="E91" i="6"/>
  <c r="Q90" i="6"/>
  <c r="P90" i="6"/>
  <c r="O90" i="6"/>
  <c r="W90" i="6" s="1"/>
  <c r="W91" i="6" s="1"/>
  <c r="F90" i="6"/>
  <c r="H90" i="6" s="1"/>
  <c r="F89" i="6"/>
  <c r="H89" i="6" s="1"/>
  <c r="Q88" i="6"/>
  <c r="P88" i="6"/>
  <c r="O88" i="6"/>
  <c r="F88" i="6"/>
  <c r="H88" i="6" s="1"/>
  <c r="F87" i="6"/>
  <c r="H87" i="6" s="1"/>
  <c r="I79" i="6"/>
  <c r="E79" i="6"/>
  <c r="F78" i="6"/>
  <c r="H78" i="6" s="1"/>
  <c r="F77" i="6"/>
  <c r="G77" i="6" s="1"/>
  <c r="F76" i="6"/>
  <c r="G76" i="6" s="1"/>
  <c r="F75" i="6"/>
  <c r="H75" i="6" s="1"/>
  <c r="E67" i="6"/>
  <c r="F66" i="6"/>
  <c r="H66" i="6" s="1"/>
  <c r="M64" i="6"/>
  <c r="K64" i="6"/>
  <c r="N64" i="6" s="1"/>
  <c r="F64" i="6"/>
  <c r="H64" i="6" s="1"/>
  <c r="F63" i="6"/>
  <c r="H63" i="6" s="1"/>
  <c r="F62" i="6"/>
  <c r="H62" i="6" s="1"/>
  <c r="F61" i="6"/>
  <c r="H61" i="6" s="1"/>
  <c r="M60" i="6"/>
  <c r="K60" i="6"/>
  <c r="F60" i="6"/>
  <c r="F59" i="6"/>
  <c r="H59" i="6" s="1"/>
  <c r="E41" i="6"/>
  <c r="N40" i="6"/>
  <c r="P40" i="6" s="1"/>
  <c r="H40" i="6"/>
  <c r="N39" i="6"/>
  <c r="P39" i="6" s="1"/>
  <c r="Q37" i="6"/>
  <c r="P37" i="6"/>
  <c r="O37" i="6"/>
  <c r="H37" i="6"/>
  <c r="M35" i="6"/>
  <c r="H35" i="6"/>
  <c r="M34" i="6"/>
  <c r="AC34" i="6"/>
  <c r="H34" i="6"/>
  <c r="N33" i="6"/>
  <c r="P33" i="6" s="1"/>
  <c r="M32" i="6"/>
  <c r="K32" i="6"/>
  <c r="H32" i="6"/>
  <c r="H20" i="6"/>
  <c r="G19" i="6"/>
  <c r="G18" i="6"/>
  <c r="Q17" i="6"/>
  <c r="P17" i="6"/>
  <c r="O17" i="6"/>
  <c r="G17" i="6"/>
  <c r="G16" i="6"/>
  <c r="G15" i="6"/>
  <c r="N14" i="6"/>
  <c r="P14" i="6" s="1"/>
  <c r="G14" i="6"/>
  <c r="Z34" i="4"/>
  <c r="Y34" i="4"/>
  <c r="X34" i="4"/>
  <c r="W34" i="4"/>
  <c r="V34" i="4"/>
  <c r="N34" i="4"/>
  <c r="M34" i="4"/>
  <c r="L34" i="4"/>
  <c r="K34" i="4"/>
  <c r="J34" i="4"/>
  <c r="I34" i="4"/>
  <c r="H34" i="4"/>
  <c r="G34" i="4"/>
  <c r="F34" i="4"/>
  <c r="E34" i="4"/>
  <c r="D34" i="4"/>
  <c r="C34" i="4"/>
  <c r="Z33" i="4"/>
  <c r="Y33" i="4"/>
  <c r="X33" i="4"/>
  <c r="W33" i="4"/>
  <c r="V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N31" i="4"/>
  <c r="M31" i="4"/>
  <c r="L31" i="4"/>
  <c r="K31" i="4"/>
  <c r="J31" i="4"/>
  <c r="I31" i="4"/>
  <c r="H31" i="4"/>
  <c r="G31" i="4"/>
  <c r="F31" i="4"/>
  <c r="E31" i="4"/>
  <c r="Z30" i="4"/>
  <c r="Y30" i="4"/>
  <c r="X30" i="4"/>
  <c r="W30" i="4"/>
  <c r="V30" i="4"/>
  <c r="N30" i="4"/>
  <c r="M30" i="4"/>
  <c r="L30" i="4"/>
  <c r="K30" i="4"/>
  <c r="J30" i="4"/>
  <c r="I30" i="4"/>
  <c r="H30" i="4"/>
  <c r="G30" i="4"/>
  <c r="F30" i="4"/>
  <c r="E30" i="4"/>
  <c r="Z29" i="4"/>
  <c r="Y29" i="4"/>
  <c r="X29" i="4"/>
  <c r="W29" i="4"/>
  <c r="V29" i="4"/>
  <c r="N29" i="4"/>
  <c r="M29" i="4"/>
  <c r="L29" i="4"/>
  <c r="K29" i="4"/>
  <c r="J29" i="4"/>
  <c r="I29" i="4"/>
  <c r="H29" i="4"/>
  <c r="G29" i="4"/>
  <c r="F29" i="4"/>
  <c r="E29" i="4"/>
  <c r="Z28" i="4"/>
  <c r="Y28" i="4"/>
  <c r="X28" i="4"/>
  <c r="W28" i="4"/>
  <c r="V28" i="4"/>
  <c r="N28" i="4"/>
  <c r="M28" i="4"/>
  <c r="L28" i="4"/>
  <c r="K28" i="4"/>
  <c r="J28" i="4"/>
  <c r="I28" i="4"/>
  <c r="H28" i="4"/>
  <c r="G28" i="4"/>
  <c r="F28" i="4"/>
  <c r="E28" i="4"/>
  <c r="Z27" i="4"/>
  <c r="Y27" i="4"/>
  <c r="X27" i="4"/>
  <c r="W27" i="4"/>
  <c r="V27" i="4"/>
  <c r="N27" i="4"/>
  <c r="M27" i="4"/>
  <c r="L27" i="4"/>
  <c r="K27" i="4"/>
  <c r="J27" i="4"/>
  <c r="I27" i="4"/>
  <c r="H27" i="4"/>
  <c r="G27" i="4"/>
  <c r="F27" i="4"/>
  <c r="E27" i="4"/>
  <c r="Z26" i="4"/>
  <c r="Y26" i="4"/>
  <c r="X26" i="4"/>
  <c r="W26" i="4"/>
  <c r="V26" i="4"/>
  <c r="N26" i="4"/>
  <c r="M26" i="4"/>
  <c r="L26" i="4"/>
  <c r="K26" i="4"/>
  <c r="J26" i="4"/>
  <c r="I26" i="4"/>
  <c r="H26" i="4"/>
  <c r="G26" i="4"/>
  <c r="F26" i="4"/>
  <c r="E26" i="4"/>
  <c r="Z18" i="4"/>
  <c r="Y18" i="4"/>
  <c r="X18" i="4"/>
  <c r="W18" i="4"/>
  <c r="V18" i="4"/>
  <c r="N18" i="4"/>
  <c r="M18" i="4"/>
  <c r="L18" i="4"/>
  <c r="K18" i="4"/>
  <c r="J18" i="4"/>
  <c r="I18" i="4"/>
  <c r="H18" i="4"/>
  <c r="F18" i="4"/>
  <c r="E18" i="4"/>
  <c r="D18" i="4"/>
  <c r="C18" i="4"/>
  <c r="Z17" i="4"/>
  <c r="Y17" i="4"/>
  <c r="X17" i="4"/>
  <c r="W17" i="4"/>
  <c r="V17" i="4"/>
  <c r="N17" i="4"/>
  <c r="M17" i="4"/>
  <c r="L17" i="4"/>
  <c r="K17" i="4"/>
  <c r="J17" i="4"/>
  <c r="I17" i="4"/>
  <c r="H17" i="4"/>
  <c r="F17" i="4"/>
  <c r="E17" i="4"/>
  <c r="Z16" i="4"/>
  <c r="Y16" i="4"/>
  <c r="X16" i="4"/>
  <c r="W16" i="4"/>
  <c r="V16" i="4"/>
  <c r="N16" i="4"/>
  <c r="M16" i="4"/>
  <c r="L16" i="4"/>
  <c r="K16" i="4"/>
  <c r="J16" i="4"/>
  <c r="I16" i="4"/>
  <c r="H16" i="4"/>
  <c r="F16" i="4"/>
  <c r="E16" i="4"/>
  <c r="Z15" i="4"/>
  <c r="Y15" i="4"/>
  <c r="X15" i="4"/>
  <c r="W15" i="4"/>
  <c r="V15" i="4"/>
  <c r="N15" i="4"/>
  <c r="M15" i="4"/>
  <c r="L15" i="4"/>
  <c r="K15" i="4"/>
  <c r="J15" i="4"/>
  <c r="I15" i="4"/>
  <c r="H15" i="4"/>
  <c r="F15" i="4"/>
  <c r="E15" i="4"/>
  <c r="Z14" i="4"/>
  <c r="Y14" i="4"/>
  <c r="X14" i="4"/>
  <c r="W14" i="4"/>
  <c r="V14" i="4"/>
  <c r="N14" i="4"/>
  <c r="M14" i="4"/>
  <c r="L14" i="4"/>
  <c r="K14" i="4"/>
  <c r="J14" i="4"/>
  <c r="I14" i="4"/>
  <c r="H14" i="4"/>
  <c r="F14" i="4"/>
  <c r="E14" i="4"/>
  <c r="Z13" i="4"/>
  <c r="Y13" i="4"/>
  <c r="X13" i="4"/>
  <c r="W13" i="4"/>
  <c r="V13" i="4"/>
  <c r="N13" i="4"/>
  <c r="M13" i="4"/>
  <c r="L13" i="4"/>
  <c r="K13" i="4"/>
  <c r="J13" i="4"/>
  <c r="I13" i="4"/>
  <c r="H13" i="4"/>
  <c r="G13" i="4"/>
  <c r="F13" i="4"/>
  <c r="E13" i="4"/>
  <c r="Z12" i="4"/>
  <c r="Y12" i="4"/>
  <c r="X12" i="4"/>
  <c r="W12" i="4"/>
  <c r="V12" i="4"/>
  <c r="N12" i="4"/>
  <c r="M12" i="4"/>
  <c r="L12" i="4"/>
  <c r="K12" i="4"/>
  <c r="J12" i="4"/>
  <c r="I12" i="4"/>
  <c r="H12" i="4"/>
  <c r="G12" i="4"/>
  <c r="F12" i="4"/>
  <c r="E12" i="4"/>
  <c r="Z11" i="4"/>
  <c r="Y11" i="4"/>
  <c r="X11" i="4"/>
  <c r="W11" i="4"/>
  <c r="V11" i="4"/>
  <c r="N11" i="4"/>
  <c r="M11" i="4"/>
  <c r="L11" i="4"/>
  <c r="K11" i="4"/>
  <c r="J11" i="4"/>
  <c r="I11" i="4"/>
  <c r="H11" i="4"/>
  <c r="G11" i="4"/>
  <c r="F11" i="4"/>
  <c r="E11" i="4"/>
  <c r="Z10" i="4"/>
  <c r="Y10" i="4"/>
  <c r="X10" i="4"/>
  <c r="W10" i="4"/>
  <c r="V10" i="4"/>
  <c r="Q10" i="4"/>
  <c r="N10" i="4"/>
  <c r="M10" i="4"/>
  <c r="L10" i="4"/>
  <c r="K10" i="4"/>
  <c r="J10" i="4"/>
  <c r="I10" i="4"/>
  <c r="H10" i="4"/>
  <c r="G10" i="4"/>
  <c r="F10" i="4"/>
  <c r="E10" i="4"/>
  <c r="AA34" i="2"/>
  <c r="Z34" i="2"/>
  <c r="Y34" i="2"/>
  <c r="X34" i="2"/>
  <c r="W34" i="2"/>
  <c r="AA33" i="2"/>
  <c r="Z33" i="2"/>
  <c r="Y33" i="2"/>
  <c r="X33" i="2"/>
  <c r="W33" i="2"/>
  <c r="O33" i="2"/>
  <c r="N33" i="2"/>
  <c r="M33" i="2"/>
  <c r="L33" i="2"/>
  <c r="K33" i="2"/>
  <c r="J33" i="2"/>
  <c r="I33" i="2"/>
  <c r="H33" i="2"/>
  <c r="G33" i="2"/>
  <c r="F33" i="2"/>
  <c r="AA32" i="2"/>
  <c r="Z32" i="2"/>
  <c r="Y32" i="2"/>
  <c r="X32" i="2"/>
  <c r="W32" i="2"/>
  <c r="O32" i="2"/>
  <c r="N32" i="2"/>
  <c r="M32" i="2"/>
  <c r="L32" i="2"/>
  <c r="K32" i="2"/>
  <c r="AA31" i="2"/>
  <c r="Z31" i="2"/>
  <c r="Y31" i="2"/>
  <c r="X31" i="2"/>
  <c r="W31" i="2"/>
  <c r="O31" i="2"/>
  <c r="N31" i="2"/>
  <c r="M31" i="2"/>
  <c r="L31" i="2"/>
  <c r="K31" i="2"/>
  <c r="AA30" i="2"/>
  <c r="Z30" i="2"/>
  <c r="Y30" i="2"/>
  <c r="X30" i="2"/>
  <c r="W30" i="2"/>
  <c r="O30" i="2"/>
  <c r="N30" i="2"/>
  <c r="M30" i="2"/>
  <c r="L30" i="2"/>
  <c r="K30" i="2"/>
  <c r="J30" i="2"/>
  <c r="I30" i="2"/>
  <c r="H30" i="2"/>
  <c r="G30" i="2"/>
  <c r="F30" i="2"/>
  <c r="E30" i="2"/>
  <c r="AA29" i="2"/>
  <c r="Z29" i="2"/>
  <c r="Y29" i="2"/>
  <c r="X29" i="2"/>
  <c r="W29" i="2"/>
  <c r="O29" i="2"/>
  <c r="N29" i="2"/>
  <c r="M29" i="2"/>
  <c r="L29" i="2"/>
  <c r="K29" i="2"/>
  <c r="J29" i="2"/>
  <c r="I29" i="2"/>
  <c r="H29" i="2"/>
  <c r="G29" i="2"/>
  <c r="F29" i="2"/>
  <c r="AA28" i="2"/>
  <c r="Z28" i="2"/>
  <c r="Y28" i="2"/>
  <c r="X28" i="2"/>
  <c r="W28" i="2"/>
  <c r="T28" i="2"/>
  <c r="O28" i="2"/>
  <c r="N28" i="2"/>
  <c r="M28" i="2"/>
  <c r="L28" i="2"/>
  <c r="K28" i="2"/>
  <c r="J28" i="2"/>
  <c r="I28" i="2"/>
  <c r="H28" i="2"/>
  <c r="G28" i="2"/>
  <c r="F28" i="2"/>
  <c r="AA27" i="2"/>
  <c r="Z27" i="2"/>
  <c r="Y27" i="2"/>
  <c r="X27" i="2"/>
  <c r="W27" i="2"/>
  <c r="T27" i="2"/>
  <c r="O27" i="2"/>
  <c r="N27" i="2"/>
  <c r="M27" i="2"/>
  <c r="L27" i="2"/>
  <c r="K27" i="2"/>
  <c r="J27" i="2"/>
  <c r="I27" i="2"/>
  <c r="H27" i="2"/>
  <c r="G27" i="2"/>
  <c r="F27" i="2"/>
  <c r="AA26" i="2"/>
  <c r="Z26" i="2"/>
  <c r="Y26" i="2"/>
  <c r="X26" i="2"/>
  <c r="W26" i="2"/>
  <c r="O26" i="2"/>
  <c r="N26" i="2"/>
  <c r="M26" i="2"/>
  <c r="L26" i="2"/>
  <c r="K26" i="2"/>
  <c r="J26" i="2"/>
  <c r="I26" i="2"/>
  <c r="H26" i="2"/>
  <c r="G26" i="2"/>
  <c r="F26" i="2"/>
  <c r="E20" i="2"/>
  <c r="AA12" i="2"/>
  <c r="Z12" i="2"/>
  <c r="Y12" i="2"/>
  <c r="X12" i="2"/>
  <c r="W12" i="2"/>
  <c r="O12" i="2"/>
  <c r="N12" i="2"/>
  <c r="M12" i="2"/>
  <c r="L12" i="2"/>
  <c r="K12" i="2"/>
  <c r="J12" i="2"/>
  <c r="I12" i="2"/>
  <c r="H12" i="2"/>
  <c r="G12" i="2"/>
  <c r="F12" i="2"/>
  <c r="AA11" i="2"/>
  <c r="Z11" i="2"/>
  <c r="Y11" i="2"/>
  <c r="X11" i="2"/>
  <c r="W11" i="2"/>
  <c r="O11" i="2"/>
  <c r="N11" i="2"/>
  <c r="M11" i="2"/>
  <c r="L11" i="2"/>
  <c r="K11" i="2"/>
  <c r="J11" i="2"/>
  <c r="I11" i="2"/>
  <c r="H11" i="2"/>
  <c r="G11" i="2"/>
  <c r="F11" i="2"/>
  <c r="AA10" i="2"/>
  <c r="Z10" i="2"/>
  <c r="Y10" i="2"/>
  <c r="X10" i="2"/>
  <c r="W10" i="2"/>
  <c r="O10" i="2"/>
  <c r="N10" i="2"/>
  <c r="M10" i="2"/>
  <c r="L10" i="2"/>
  <c r="K10" i="2"/>
  <c r="J10" i="2"/>
  <c r="I10" i="2"/>
  <c r="H10" i="2"/>
  <c r="G10" i="2"/>
  <c r="F10" i="2"/>
  <c r="E10" i="2"/>
  <c r="AA34" i="1"/>
  <c r="Z34" i="1"/>
  <c r="Y34" i="1"/>
  <c r="X34" i="1"/>
  <c r="W34" i="1"/>
  <c r="AA33" i="1"/>
  <c r="Z33" i="1"/>
  <c r="Y33" i="1"/>
  <c r="X33" i="1"/>
  <c r="W33" i="1"/>
  <c r="O33" i="1"/>
  <c r="N33" i="1"/>
  <c r="M33" i="1"/>
  <c r="L33" i="1"/>
  <c r="K33" i="1"/>
  <c r="J33" i="1"/>
  <c r="I33" i="1"/>
  <c r="H33" i="1"/>
  <c r="G33" i="1"/>
  <c r="F33" i="1"/>
  <c r="AA32" i="1"/>
  <c r="Z32" i="1"/>
  <c r="Y32" i="1"/>
  <c r="X32" i="1"/>
  <c r="W32" i="1"/>
  <c r="O32" i="1"/>
  <c r="N32" i="1"/>
  <c r="M32" i="1"/>
  <c r="L32" i="1"/>
  <c r="K32" i="1"/>
  <c r="AA31" i="1"/>
  <c r="Z31" i="1"/>
  <c r="Y31" i="1"/>
  <c r="X31" i="1"/>
  <c r="W31" i="1"/>
  <c r="O31" i="1"/>
  <c r="N31" i="1"/>
  <c r="M31" i="1"/>
  <c r="L31" i="1"/>
  <c r="K31" i="1"/>
  <c r="AA30" i="1"/>
  <c r="Z30" i="1"/>
  <c r="Y30" i="1"/>
  <c r="X30" i="1"/>
  <c r="W30" i="1"/>
  <c r="O30" i="1"/>
  <c r="N30" i="1"/>
  <c r="M30" i="1"/>
  <c r="L30" i="1"/>
  <c r="K30" i="1"/>
  <c r="J30" i="1"/>
  <c r="I30" i="1"/>
  <c r="H30" i="1"/>
  <c r="G30" i="1"/>
  <c r="F30" i="1"/>
  <c r="E30" i="1"/>
  <c r="AA29" i="1"/>
  <c r="Z29" i="1"/>
  <c r="Y29" i="1"/>
  <c r="X29" i="1"/>
  <c r="W29" i="1"/>
  <c r="O29" i="1"/>
  <c r="N29" i="1"/>
  <c r="M29" i="1"/>
  <c r="L29" i="1"/>
  <c r="K29" i="1"/>
  <c r="J29" i="1"/>
  <c r="I29" i="1"/>
  <c r="H29" i="1"/>
  <c r="G29" i="1"/>
  <c r="F29" i="1"/>
  <c r="AA28" i="1"/>
  <c r="Z28" i="1"/>
  <c r="Y28" i="1"/>
  <c r="X28" i="1"/>
  <c r="W28" i="1"/>
  <c r="T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T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O26" i="1"/>
  <c r="N26" i="1"/>
  <c r="M26" i="1"/>
  <c r="L26" i="1"/>
  <c r="K26" i="1"/>
  <c r="J26" i="1"/>
  <c r="I26" i="1"/>
  <c r="H26" i="1"/>
  <c r="G26" i="1"/>
  <c r="F26" i="1"/>
  <c r="E20" i="1"/>
  <c r="AA12" i="1"/>
  <c r="Z12" i="1"/>
  <c r="Y12" i="1"/>
  <c r="X12" i="1"/>
  <c r="W12" i="1"/>
  <c r="O12" i="1"/>
  <c r="N12" i="1"/>
  <c r="M12" i="1"/>
  <c r="L12" i="1"/>
  <c r="K12" i="1"/>
  <c r="J12" i="1"/>
  <c r="I12" i="1"/>
  <c r="H12" i="1"/>
  <c r="G12" i="1"/>
  <c r="F12" i="1"/>
  <c r="AA11" i="1"/>
  <c r="Z11" i="1"/>
  <c r="Y11" i="1"/>
  <c r="X11" i="1"/>
  <c r="W11" i="1"/>
  <c r="O11" i="1"/>
  <c r="N11" i="1"/>
  <c r="M11" i="1"/>
  <c r="L11" i="1"/>
  <c r="K11" i="1"/>
  <c r="J11" i="1"/>
  <c r="I11" i="1"/>
  <c r="H11" i="1"/>
  <c r="G11" i="1"/>
  <c r="F11" i="1"/>
  <c r="AA10" i="1"/>
  <c r="Z10" i="1"/>
  <c r="Y10" i="1"/>
  <c r="X10" i="1"/>
  <c r="W10" i="1"/>
  <c r="O10" i="1"/>
  <c r="N10" i="1"/>
  <c r="M10" i="1"/>
  <c r="L10" i="1"/>
  <c r="K10" i="1"/>
  <c r="J10" i="1"/>
  <c r="I10" i="1"/>
  <c r="H10" i="1"/>
  <c r="G10" i="1"/>
  <c r="F10" i="1"/>
  <c r="E10" i="1"/>
  <c r="AF38" i="6" l="1"/>
  <c r="AG38" i="6" s="1"/>
  <c r="H155" i="6"/>
  <c r="O36" i="6"/>
  <c r="W36" i="6" s="1"/>
  <c r="W41" i="6" s="1"/>
  <c r="P36" i="6"/>
  <c r="N32" i="6"/>
  <c r="P32" i="6" s="1"/>
  <c r="AC32" i="6"/>
  <c r="AF32" i="6" s="1"/>
  <c r="AE229" i="6"/>
  <c r="AF58" i="6"/>
  <c r="N35" i="6"/>
  <c r="AC35" i="6"/>
  <c r="O58" i="6"/>
  <c r="Q58" i="6"/>
  <c r="P58" i="6"/>
  <c r="F102" i="6"/>
  <c r="H91" i="6"/>
  <c r="F187" i="6"/>
  <c r="F209" i="6"/>
  <c r="H226" i="6"/>
  <c r="G32" i="6"/>
  <c r="AE32" i="6" s="1"/>
  <c r="G197" i="6"/>
  <c r="G198" i="6" s="1"/>
  <c r="F198" i="6"/>
  <c r="J235" i="6"/>
  <c r="K235" i="6" s="1"/>
  <c r="N235" i="6" s="1"/>
  <c r="G40" i="6"/>
  <c r="G62" i="6"/>
  <c r="AE62" i="6" s="1"/>
  <c r="H77" i="6"/>
  <c r="G178" i="6"/>
  <c r="G183" i="6"/>
  <c r="G185" i="6"/>
  <c r="G224" i="6"/>
  <c r="J224" i="6" s="1"/>
  <c r="F236" i="6"/>
  <c r="G37" i="6"/>
  <c r="AE37" i="6" s="1"/>
  <c r="G61" i="6"/>
  <c r="AE61" i="6" s="1"/>
  <c r="M222" i="6"/>
  <c r="K222" i="6"/>
  <c r="F20" i="6"/>
  <c r="O14" i="6"/>
  <c r="I32" i="6"/>
  <c r="O33" i="6"/>
  <c r="I40" i="6"/>
  <c r="O40" i="6"/>
  <c r="I61" i="6"/>
  <c r="I62" i="6"/>
  <c r="J62" i="6" s="1"/>
  <c r="G63" i="6"/>
  <c r="G66" i="6"/>
  <c r="G75" i="6"/>
  <c r="G78" i="6"/>
  <c r="J78" i="6" s="1"/>
  <c r="F120" i="6"/>
  <c r="I114" i="6"/>
  <c r="G115" i="6"/>
  <c r="G116" i="6"/>
  <c r="G137" i="6"/>
  <c r="F140" i="6"/>
  <c r="G154" i="6"/>
  <c r="AE154" i="6" s="1"/>
  <c r="F169" i="6"/>
  <c r="G164" i="6"/>
  <c r="N164" i="6"/>
  <c r="P164" i="6" s="1"/>
  <c r="G165" i="6"/>
  <c r="G166" i="6"/>
  <c r="G167" i="6"/>
  <c r="G177" i="6"/>
  <c r="I178" i="6"/>
  <c r="H180" i="6"/>
  <c r="J180" i="6" s="1"/>
  <c r="P182" i="6"/>
  <c r="I183" i="6"/>
  <c r="G184" i="6"/>
  <c r="I185" i="6"/>
  <c r="G204" i="6"/>
  <c r="G223" i="6"/>
  <c r="J223" i="6" s="1"/>
  <c r="G225" i="6"/>
  <c r="Q14" i="6"/>
  <c r="Q33" i="6"/>
  <c r="Q40" i="6"/>
  <c r="I63" i="6"/>
  <c r="I66" i="6"/>
  <c r="I115" i="6"/>
  <c r="I116" i="6"/>
  <c r="I137" i="6"/>
  <c r="I164" i="6"/>
  <c r="L164" i="6" s="1"/>
  <c r="I165" i="6"/>
  <c r="L165" i="6" s="1"/>
  <c r="I166" i="6"/>
  <c r="L166" i="6" s="1"/>
  <c r="I167" i="6"/>
  <c r="L167" i="6" s="1"/>
  <c r="I177" i="6"/>
  <c r="I184" i="6"/>
  <c r="I204" i="6"/>
  <c r="O64" i="6"/>
  <c r="Q64" i="6"/>
  <c r="O32" i="6"/>
  <c r="I60" i="6"/>
  <c r="G60" i="6"/>
  <c r="N60" i="6"/>
  <c r="Q32" i="6"/>
  <c r="H39" i="6"/>
  <c r="G39" i="6"/>
  <c r="AE39" i="6" s="1"/>
  <c r="AG39" i="6" s="1"/>
  <c r="I59" i="6"/>
  <c r="G59" i="6"/>
  <c r="H60" i="6"/>
  <c r="H67" i="6" s="1"/>
  <c r="I64" i="6"/>
  <c r="G64" i="6"/>
  <c r="F79" i="6"/>
  <c r="J75" i="6"/>
  <c r="H76" i="6"/>
  <c r="H79" i="6" s="1"/>
  <c r="J77" i="6"/>
  <c r="Q39" i="6"/>
  <c r="O39" i="6"/>
  <c r="F67" i="6"/>
  <c r="M117" i="6"/>
  <c r="K117" i="6"/>
  <c r="Q119" i="6"/>
  <c r="O119" i="6"/>
  <c r="P119" i="6"/>
  <c r="G87" i="6"/>
  <c r="I87" i="6"/>
  <c r="G88" i="6"/>
  <c r="I88" i="6"/>
  <c r="G89" i="6"/>
  <c r="I89" i="6"/>
  <c r="G90" i="6"/>
  <c r="AE90" i="6" s="1"/>
  <c r="I90" i="6"/>
  <c r="F91" i="6"/>
  <c r="G100" i="6"/>
  <c r="G101" i="6"/>
  <c r="O101" i="6"/>
  <c r="Q101" i="6"/>
  <c r="H114" i="6"/>
  <c r="H120" i="6" s="1"/>
  <c r="J115" i="6"/>
  <c r="N116" i="6"/>
  <c r="J118" i="6"/>
  <c r="G119" i="6"/>
  <c r="G128" i="6"/>
  <c r="J137" i="6"/>
  <c r="G138" i="6"/>
  <c r="I138" i="6"/>
  <c r="G139" i="6"/>
  <c r="I139" i="6"/>
  <c r="F155" i="6"/>
  <c r="I153" i="6"/>
  <c r="I155" i="6" s="1"/>
  <c r="G153" i="6"/>
  <c r="AE153" i="6" s="1"/>
  <c r="J154" i="6"/>
  <c r="K181" i="6"/>
  <c r="M181" i="6"/>
  <c r="H100" i="6"/>
  <c r="H102" i="6" s="1"/>
  <c r="H128" i="6"/>
  <c r="H129" i="6" s="1"/>
  <c r="H138" i="6"/>
  <c r="H140" i="6" s="1"/>
  <c r="Q178" i="6"/>
  <c r="O178" i="6"/>
  <c r="P178" i="6"/>
  <c r="Q183" i="6"/>
  <c r="O183" i="6"/>
  <c r="P183" i="6"/>
  <c r="G163" i="6"/>
  <c r="I163" i="6"/>
  <c r="Q164" i="6"/>
  <c r="J165" i="6"/>
  <c r="J166" i="6"/>
  <c r="O167" i="6"/>
  <c r="Q167" i="6"/>
  <c r="G168" i="6"/>
  <c r="I168" i="6"/>
  <c r="L168" i="6" s="1"/>
  <c r="N168" i="6"/>
  <c r="H177" i="6"/>
  <c r="J177" i="6" s="1"/>
  <c r="G179" i="6"/>
  <c r="I179" i="6"/>
  <c r="H182" i="6"/>
  <c r="J182" i="6" s="1"/>
  <c r="M182" i="6" s="1"/>
  <c r="J184" i="6"/>
  <c r="G186" i="6"/>
  <c r="I186" i="6"/>
  <c r="Q208" i="6"/>
  <c r="O208" i="6"/>
  <c r="P208" i="6"/>
  <c r="H163" i="6"/>
  <c r="H169" i="6" s="1"/>
  <c r="J197" i="6"/>
  <c r="H204" i="6"/>
  <c r="H205" i="6"/>
  <c r="J205" i="6" s="1"/>
  <c r="J206" i="6"/>
  <c r="G207" i="6"/>
  <c r="G209" i="6" s="1"/>
  <c r="I207" i="6"/>
  <c r="H208" i="6"/>
  <c r="F229" i="6"/>
  <c r="H220" i="6"/>
  <c r="J220" i="6" s="1"/>
  <c r="H221" i="6"/>
  <c r="N222" i="6"/>
  <c r="J225" i="6"/>
  <c r="H227" i="6"/>
  <c r="J227" i="6" s="1"/>
  <c r="H228" i="6"/>
  <c r="J236" i="6"/>
  <c r="P221" i="6"/>
  <c r="K236" i="6"/>
  <c r="N226" i="6"/>
  <c r="N228" i="6"/>
  <c r="F41" i="6"/>
  <c r="G34" i="6"/>
  <c r="AE34" i="6" s="1"/>
  <c r="AF34" i="6" s="1"/>
  <c r="AG34" i="6" s="1"/>
  <c r="I37" i="6"/>
  <c r="I39" i="6"/>
  <c r="I34" i="6"/>
  <c r="G13" i="6"/>
  <c r="G20" i="6" s="1"/>
  <c r="J17" i="6"/>
  <c r="P35" i="6"/>
  <c r="Q35" i="6"/>
  <c r="O35" i="6"/>
  <c r="J14" i="6"/>
  <c r="M14" i="6" s="1"/>
  <c r="J15" i="6"/>
  <c r="J16" i="6"/>
  <c r="J18" i="6"/>
  <c r="J19" i="6"/>
  <c r="G33" i="6"/>
  <c r="AE33" i="6" s="1"/>
  <c r="AF33" i="6" s="1"/>
  <c r="AG33" i="6" s="1"/>
  <c r="I33" i="6"/>
  <c r="N34" i="6"/>
  <c r="G35" i="6"/>
  <c r="AE35" i="6" s="1"/>
  <c r="AF35" i="6" s="1"/>
  <c r="AG35" i="6" s="1"/>
  <c r="I35" i="6"/>
  <c r="H33" i="6"/>
  <c r="J114" i="6" l="1"/>
  <c r="J120" i="6" s="1"/>
  <c r="AE91" i="6"/>
  <c r="I120" i="6"/>
  <c r="G187" i="6"/>
  <c r="AE67" i="6"/>
  <c r="AG58" i="6"/>
  <c r="AE155" i="6"/>
  <c r="M40" i="6"/>
  <c r="AE40" i="6"/>
  <c r="AG40" i="6" s="1"/>
  <c r="AE41" i="6"/>
  <c r="M235" i="6"/>
  <c r="M236" i="6" s="1"/>
  <c r="AC37" i="6"/>
  <c r="M223" i="6"/>
  <c r="K223" i="6"/>
  <c r="I209" i="6"/>
  <c r="J204" i="6"/>
  <c r="K204" i="6" s="1"/>
  <c r="O164" i="6"/>
  <c r="J61" i="6"/>
  <c r="M61" i="6" s="1"/>
  <c r="H41" i="6"/>
  <c r="G229" i="6"/>
  <c r="J63" i="6"/>
  <c r="K63" i="6" s="1"/>
  <c r="G140" i="6"/>
  <c r="M39" i="6"/>
  <c r="I140" i="6"/>
  <c r="I187" i="6"/>
  <c r="J66" i="6"/>
  <c r="I41" i="6"/>
  <c r="P228" i="6"/>
  <c r="O228" i="6"/>
  <c r="Q228" i="6"/>
  <c r="N236" i="6"/>
  <c r="Q235" i="6"/>
  <c r="Q236" i="6" s="1"/>
  <c r="P235" i="6"/>
  <c r="P236" i="6" s="1"/>
  <c r="K225" i="6"/>
  <c r="M225" i="6"/>
  <c r="Q222" i="6"/>
  <c r="O222" i="6"/>
  <c r="P222" i="6"/>
  <c r="K206" i="6"/>
  <c r="M206" i="6"/>
  <c r="K205" i="6"/>
  <c r="M205" i="6"/>
  <c r="H209" i="6"/>
  <c r="N223" i="6"/>
  <c r="J198" i="6"/>
  <c r="K197" i="6"/>
  <c r="M197" i="6"/>
  <c r="M198" i="6" s="1"/>
  <c r="J186" i="6"/>
  <c r="J187" i="6" s="1"/>
  <c r="H187" i="6"/>
  <c r="M166" i="6"/>
  <c r="K166" i="6"/>
  <c r="J163" i="6"/>
  <c r="G169" i="6"/>
  <c r="N181" i="6"/>
  <c r="G155" i="6"/>
  <c r="J153" i="6"/>
  <c r="J138" i="6"/>
  <c r="J140" i="6" s="1"/>
  <c r="Q116" i="6"/>
  <c r="O116" i="6"/>
  <c r="P116" i="6"/>
  <c r="G102" i="6"/>
  <c r="J100" i="6"/>
  <c r="I91" i="6"/>
  <c r="N117" i="6"/>
  <c r="G120" i="6"/>
  <c r="J76" i="6"/>
  <c r="J79" i="6" s="1"/>
  <c r="M78" i="6"/>
  <c r="K78" i="6"/>
  <c r="K75" i="6"/>
  <c r="M75" i="6"/>
  <c r="G79" i="6"/>
  <c r="M62" i="6"/>
  <c r="K62" i="6"/>
  <c r="AC62" i="6" s="1"/>
  <c r="AF62" i="6" s="1"/>
  <c r="AG62" i="6" s="1"/>
  <c r="G67" i="6"/>
  <c r="J59" i="6"/>
  <c r="Q226" i="6"/>
  <c r="O226" i="6"/>
  <c r="M227" i="6"/>
  <c r="K227" i="6"/>
  <c r="J229" i="6"/>
  <c r="M220" i="6"/>
  <c r="K220" i="6"/>
  <c r="AC220" i="6" s="1"/>
  <c r="AF220" i="6" s="1"/>
  <c r="K224" i="6"/>
  <c r="M224" i="6"/>
  <c r="H229" i="6"/>
  <c r="J207" i="6"/>
  <c r="J209" i="6" s="1"/>
  <c r="M204" i="6"/>
  <c r="K184" i="6"/>
  <c r="M184" i="6"/>
  <c r="K177" i="6"/>
  <c r="M177" i="6"/>
  <c r="Q168" i="6"/>
  <c r="O168" i="6"/>
  <c r="P168" i="6"/>
  <c r="M165" i="6"/>
  <c r="K165" i="6"/>
  <c r="L163" i="6"/>
  <c r="L169" i="6" s="1"/>
  <c r="I169" i="6"/>
  <c r="M180" i="6"/>
  <c r="K180" i="6"/>
  <c r="K154" i="6"/>
  <c r="AC154" i="6" s="1"/>
  <c r="AF154" i="6" s="1"/>
  <c r="M154" i="6"/>
  <c r="K137" i="6"/>
  <c r="M137" i="6"/>
  <c r="G129" i="6"/>
  <c r="J128" i="6"/>
  <c r="K118" i="6"/>
  <c r="M118" i="6"/>
  <c r="K115" i="6"/>
  <c r="M115" i="6"/>
  <c r="K114" i="6"/>
  <c r="M114" i="6"/>
  <c r="J101" i="6"/>
  <c r="J90" i="6"/>
  <c r="J89" i="6"/>
  <c r="J88" i="6"/>
  <c r="G91" i="6"/>
  <c r="J87" i="6"/>
  <c r="M77" i="6"/>
  <c r="K77" i="6"/>
  <c r="I67" i="6"/>
  <c r="Q60" i="6"/>
  <c r="O60" i="6"/>
  <c r="P60" i="6"/>
  <c r="Q34" i="6"/>
  <c r="Q41" i="6" s="1"/>
  <c r="O34" i="6"/>
  <c r="N41" i="6"/>
  <c r="P34" i="6"/>
  <c r="P41" i="6" s="1"/>
  <c r="G41" i="6"/>
  <c r="K18" i="6"/>
  <c r="M18" i="6"/>
  <c r="M17" i="6"/>
  <c r="K17" i="6"/>
  <c r="K19" i="6"/>
  <c r="M19" i="6"/>
  <c r="K16" i="6"/>
  <c r="M16" i="6"/>
  <c r="M15" i="6"/>
  <c r="K15" i="6"/>
  <c r="J13" i="6"/>
  <c r="AG37" i="6" l="1"/>
  <c r="AF37" i="6"/>
  <c r="K61" i="6"/>
  <c r="N61" i="6" s="1"/>
  <c r="AG220" i="6"/>
  <c r="AF229" i="6"/>
  <c r="AG32" i="6"/>
  <c r="AF41" i="6"/>
  <c r="M37" i="6"/>
  <c r="AG229" i="6"/>
  <c r="AC229" i="6"/>
  <c r="M63" i="6"/>
  <c r="M120" i="6"/>
  <c r="M66" i="6"/>
  <c r="K66" i="6"/>
  <c r="K120" i="6"/>
  <c r="N114" i="6"/>
  <c r="N118" i="6"/>
  <c r="N165" i="6"/>
  <c r="N62" i="6"/>
  <c r="N63" i="6"/>
  <c r="N78" i="6"/>
  <c r="M76" i="6"/>
  <c r="M79" i="6" s="1"/>
  <c r="K76" i="6"/>
  <c r="K79" i="6" s="1"/>
  <c r="N77" i="6"/>
  <c r="M87" i="6"/>
  <c r="J91" i="6"/>
  <c r="K87" i="6"/>
  <c r="M88" i="6"/>
  <c r="K88" i="6"/>
  <c r="M89" i="6"/>
  <c r="K89" i="6"/>
  <c r="M90" i="6"/>
  <c r="K90" i="6"/>
  <c r="AC90" i="6" s="1"/>
  <c r="J129" i="6"/>
  <c r="K128" i="6"/>
  <c r="M128" i="6"/>
  <c r="M129" i="6" s="1"/>
  <c r="N137" i="6"/>
  <c r="N184" i="6"/>
  <c r="N224" i="6"/>
  <c r="M229" i="6"/>
  <c r="N227" i="6"/>
  <c r="K59" i="6"/>
  <c r="J67" i="6"/>
  <c r="M59" i="6"/>
  <c r="N75" i="6"/>
  <c r="J102" i="6"/>
  <c r="K100" i="6"/>
  <c r="M100" i="6"/>
  <c r="M102" i="6" s="1"/>
  <c r="M138" i="6"/>
  <c r="M140" i="6" s="1"/>
  <c r="K138" i="6"/>
  <c r="J155" i="6"/>
  <c r="K153" i="6"/>
  <c r="AC153" i="6" s="1"/>
  <c r="M153" i="6"/>
  <c r="M155" i="6" s="1"/>
  <c r="P181" i="6"/>
  <c r="Q181" i="6"/>
  <c r="O181" i="6"/>
  <c r="K198" i="6"/>
  <c r="N197" i="6"/>
  <c r="Q223" i="6"/>
  <c r="P223" i="6"/>
  <c r="N225" i="6"/>
  <c r="N154" i="6"/>
  <c r="N177" i="6"/>
  <c r="N204" i="6"/>
  <c r="M207" i="6"/>
  <c r="M209" i="6" s="1"/>
  <c r="K207" i="6"/>
  <c r="K229" i="6"/>
  <c r="N220" i="6"/>
  <c r="Q117" i="6"/>
  <c r="O117" i="6"/>
  <c r="P117" i="6"/>
  <c r="J169" i="6"/>
  <c r="M163" i="6"/>
  <c r="M169" i="6" s="1"/>
  <c r="K163" i="6"/>
  <c r="N166" i="6"/>
  <c r="M186" i="6"/>
  <c r="M187" i="6" s="1"/>
  <c r="K186" i="6"/>
  <c r="N186" i="6" s="1"/>
  <c r="N206" i="6"/>
  <c r="N16" i="6"/>
  <c r="N19" i="6"/>
  <c r="N18" i="6"/>
  <c r="J41" i="6"/>
  <c r="M33" i="6"/>
  <c r="O41" i="6"/>
  <c r="K13" i="6"/>
  <c r="K20" i="6" s="1"/>
  <c r="M13" i="6"/>
  <c r="M20" i="6" s="1"/>
  <c r="N15" i="6"/>
  <c r="J20" i="6"/>
  <c r="AG41" i="6" l="1"/>
  <c r="AC61" i="6"/>
  <c r="AF61" i="6" s="1"/>
  <c r="P61" i="6"/>
  <c r="O61" i="6"/>
  <c r="Q61" i="6"/>
  <c r="AC155" i="6"/>
  <c r="AF153" i="6"/>
  <c r="AF155" i="6" s="1"/>
  <c r="AC67" i="6"/>
  <c r="AC91" i="6"/>
  <c r="AF90" i="6"/>
  <c r="M41" i="6"/>
  <c r="M67" i="6"/>
  <c r="N66" i="6"/>
  <c r="P206" i="6"/>
  <c r="Q206" i="6"/>
  <c r="O206" i="6"/>
  <c r="Q166" i="6"/>
  <c r="O166" i="6"/>
  <c r="P166" i="6"/>
  <c r="N209" i="6"/>
  <c r="P204" i="6"/>
  <c r="Q204" i="6"/>
  <c r="O204" i="6"/>
  <c r="P177" i="6"/>
  <c r="N187" i="6"/>
  <c r="Q177" i="6"/>
  <c r="O177" i="6"/>
  <c r="N198" i="6"/>
  <c r="P197" i="6"/>
  <c r="P198" i="6" s="1"/>
  <c r="O197" i="6"/>
  <c r="Q197" i="6"/>
  <c r="Q198" i="6" s="1"/>
  <c r="P220" i="6"/>
  <c r="N229" i="6"/>
  <c r="Q220" i="6"/>
  <c r="K187" i="6"/>
  <c r="P225" i="6"/>
  <c r="Q225" i="6"/>
  <c r="O225" i="6"/>
  <c r="K155" i="6"/>
  <c r="N153" i="6"/>
  <c r="N138" i="6"/>
  <c r="N140" i="6" s="1"/>
  <c r="P75" i="6"/>
  <c r="Q75" i="6"/>
  <c r="O75" i="6"/>
  <c r="K67" i="6"/>
  <c r="N59" i="6"/>
  <c r="P137" i="6"/>
  <c r="Q137" i="6"/>
  <c r="O137" i="6"/>
  <c r="K140" i="6"/>
  <c r="N128" i="6"/>
  <c r="K129" i="6"/>
  <c r="N89" i="6"/>
  <c r="K91" i="6"/>
  <c r="N87" i="6"/>
  <c r="M91" i="6"/>
  <c r="P63" i="6"/>
  <c r="Q63" i="6"/>
  <c r="Q186" i="6"/>
  <c r="O186" i="6"/>
  <c r="P186" i="6"/>
  <c r="N163" i="6"/>
  <c r="K169" i="6"/>
  <c r="K209" i="6"/>
  <c r="Q154" i="6"/>
  <c r="P154" i="6"/>
  <c r="O154" i="6"/>
  <c r="W154" i="6" s="1"/>
  <c r="N100" i="6"/>
  <c r="K102" i="6"/>
  <c r="Q227" i="6"/>
  <c r="O227" i="6"/>
  <c r="P227" i="6"/>
  <c r="P224" i="6"/>
  <c r="Q224" i="6"/>
  <c r="O224" i="6"/>
  <c r="P184" i="6"/>
  <c r="Q184" i="6"/>
  <c r="O184" i="6"/>
  <c r="Q77" i="6"/>
  <c r="O77" i="6"/>
  <c r="P77" i="6"/>
  <c r="N76" i="6"/>
  <c r="N79" i="6" s="1"/>
  <c r="Q78" i="6"/>
  <c r="O78" i="6"/>
  <c r="P78" i="6"/>
  <c r="O62" i="6"/>
  <c r="Q62" i="6"/>
  <c r="Q165" i="6"/>
  <c r="O165" i="6"/>
  <c r="P165" i="6"/>
  <c r="Q118" i="6"/>
  <c r="P118" i="6"/>
  <c r="N120" i="6"/>
  <c r="P114" i="6"/>
  <c r="Q114" i="6"/>
  <c r="O114" i="6"/>
  <c r="O120" i="6" s="1"/>
  <c r="Q15" i="6"/>
  <c r="O15" i="6"/>
  <c r="P15" i="6"/>
  <c r="N13" i="6"/>
  <c r="N20" i="6" s="1"/>
  <c r="P18" i="6"/>
  <c r="Q18" i="6"/>
  <c r="O18" i="6"/>
  <c r="Q19" i="6"/>
  <c r="O19" i="6"/>
  <c r="P16" i="6"/>
  <c r="Q16" i="6"/>
  <c r="O16" i="6"/>
  <c r="AG90" i="6" l="1"/>
  <c r="AG91" i="6" s="1"/>
  <c r="AF91" i="6"/>
  <c r="AG61" i="6"/>
  <c r="AG67" i="6" s="1"/>
  <c r="AF67" i="6"/>
  <c r="P120" i="6"/>
  <c r="P209" i="6"/>
  <c r="O66" i="6"/>
  <c r="Q66" i="6"/>
  <c r="N169" i="6"/>
  <c r="P163" i="6"/>
  <c r="P169" i="6" s="1"/>
  <c r="Q163" i="6"/>
  <c r="Q169" i="6" s="1"/>
  <c r="O163" i="6"/>
  <c r="O169" i="6" s="1"/>
  <c r="Q229" i="6"/>
  <c r="P229" i="6"/>
  <c r="Q187" i="6"/>
  <c r="Q120" i="6"/>
  <c r="Q76" i="6"/>
  <c r="Q79" i="6" s="1"/>
  <c r="O76" i="6"/>
  <c r="P76" i="6"/>
  <c r="P79" i="6" s="1"/>
  <c r="O229" i="6"/>
  <c r="P100" i="6"/>
  <c r="P102" i="6" s="1"/>
  <c r="N102" i="6"/>
  <c r="Q100" i="6"/>
  <c r="Q102" i="6" s="1"/>
  <c r="O100" i="6"/>
  <c r="O102" i="6" s="1"/>
  <c r="N91" i="6"/>
  <c r="O87" i="6"/>
  <c r="Q87" i="6"/>
  <c r="P128" i="6"/>
  <c r="P129" i="6" s="1"/>
  <c r="N129" i="6"/>
  <c r="Q128" i="6"/>
  <c r="Q129" i="6" s="1"/>
  <c r="O128" i="6"/>
  <c r="N67" i="6"/>
  <c r="P59" i="6"/>
  <c r="P67" i="6" s="1"/>
  <c r="Q59" i="6"/>
  <c r="Q67" i="6" s="1"/>
  <c r="O59" i="6"/>
  <c r="O79" i="6"/>
  <c r="Q138" i="6"/>
  <c r="Q140" i="6" s="1"/>
  <c r="O138" i="6"/>
  <c r="O140" i="6" s="1"/>
  <c r="P138" i="6"/>
  <c r="P140" i="6" s="1"/>
  <c r="N155" i="6"/>
  <c r="P153" i="6"/>
  <c r="P155" i="6" s="1"/>
  <c r="Q153" i="6"/>
  <c r="Q155" i="6" s="1"/>
  <c r="O153" i="6"/>
  <c r="W153" i="6" s="1"/>
  <c r="W155" i="6" s="1"/>
  <c r="O198" i="6"/>
  <c r="O187" i="6"/>
  <c r="Q209" i="6"/>
  <c r="Q89" i="6"/>
  <c r="O89" i="6"/>
  <c r="P89" i="6"/>
  <c r="P187" i="6"/>
  <c r="O209" i="6"/>
  <c r="O13" i="6"/>
  <c r="P13" i="6"/>
  <c r="P20" i="6" s="1"/>
  <c r="Q13" i="6"/>
  <c r="Q20" i="6" s="1"/>
  <c r="O67" i="6" l="1"/>
  <c r="P91" i="6"/>
  <c r="O129" i="6"/>
  <c r="Q91" i="6"/>
  <c r="O20" i="6"/>
  <c r="O155" i="6"/>
  <c r="O91" i="6"/>
</calcChain>
</file>

<file path=xl/comments1.xml><?xml version="1.0" encoding="utf-8"?>
<comments xmlns="http://schemas.openxmlformats.org/spreadsheetml/2006/main">
  <authors>
    <author>SIADPP-LM</author>
  </authors>
  <commentList>
    <comment ref="A220" authorId="0">
      <text>
        <r>
          <rPr>
            <b/>
            <sz val="9"/>
            <color indexed="81"/>
            <rFont val="Tahoma"/>
            <charset val="1"/>
          </rPr>
          <t>SIADPP-LM:</t>
        </r>
        <r>
          <rPr>
            <sz val="9"/>
            <color indexed="81"/>
            <rFont val="Tahoma"/>
            <charset val="1"/>
          </rPr>
          <t xml:space="preserve">
Aduse documentele în Decembrie 2025</t>
        </r>
      </text>
    </comment>
    <comment ref="A228" authorId="0">
      <text>
        <r>
          <rPr>
            <b/>
            <sz val="9"/>
            <color indexed="81"/>
            <rFont val="Tahoma"/>
            <charset val="1"/>
          </rPr>
          <t>SIADPP-LM:</t>
        </r>
        <r>
          <rPr>
            <sz val="9"/>
            <color indexed="81"/>
            <rFont val="Tahoma"/>
            <charset val="1"/>
          </rPr>
          <t xml:space="preserve">
De adus documentele în Ianuarie 2026</t>
        </r>
      </text>
    </comment>
  </commentList>
</comments>
</file>

<file path=xl/comments2.xml><?xml version="1.0" encoding="utf-8"?>
<comments xmlns="http://schemas.openxmlformats.org/spreadsheetml/2006/main">
  <authors>
    <author>SIADPP-LM</author>
  </authors>
  <commentList>
    <comment ref="A15" authorId="0">
      <text>
        <r>
          <rPr>
            <b/>
            <sz val="9"/>
            <color indexed="81"/>
            <rFont val="Tahoma"/>
            <charset val="1"/>
          </rPr>
          <t>SIADPP-LM:</t>
        </r>
        <r>
          <rPr>
            <sz val="9"/>
            <color indexed="81"/>
            <rFont val="Tahoma"/>
            <charset val="1"/>
          </rPr>
          <t xml:space="preserve">
Aduse documentele în Decembrie 2025</t>
        </r>
      </text>
    </comment>
  </commentList>
</comments>
</file>

<file path=xl/sharedStrings.xml><?xml version="1.0" encoding="utf-8"?>
<sst xmlns="http://schemas.openxmlformats.org/spreadsheetml/2006/main" count="1385" uniqueCount="248">
  <si>
    <t xml:space="preserve">  PANA IN 35 ANI</t>
  </si>
  <si>
    <t>Nr.crt</t>
  </si>
  <si>
    <t>Ap.</t>
  </si>
  <si>
    <t>Numărul de camere</t>
  </si>
  <si>
    <t>Acd/ap (mp)</t>
  </si>
  <si>
    <t>Valoare de investiţie locuinţă</t>
  </si>
  <si>
    <t>Recuperarea investiţiei (amortizare)</t>
  </si>
  <si>
    <t>Cheltuieli de administrare, întreţinere, reparaţii curente şi capitale</t>
  </si>
  <si>
    <t>Cotă autorităţi publice</t>
  </si>
  <si>
    <t>Chirie netă anuală</t>
  </si>
  <si>
    <t>Chirie netă anuală actualizată  INS %</t>
  </si>
  <si>
    <t>Chirie lunară</t>
  </si>
  <si>
    <t>Ponderare rang localităţi (0,7)</t>
  </si>
  <si>
    <t>Ponderare venituri(0,80%; 0,90%; 1.00%)</t>
  </si>
  <si>
    <t>Venit pe membru de familie</t>
  </si>
  <si>
    <t>Chirie lunară conform art.8 alin. (9.1) - 10% pentru venituri&lt; 2079 lei / persoana;- 20% pentru venituri&gt; 2079 si &lt;3300 lei / persoana;- 30% pentru venituri&gt; 3300 lei / persoana;- 10% pentru care declară că nu realizează venituri venituri(10% din3300lei).</t>
  </si>
  <si>
    <t>Chirie fara a aduce veniturile</t>
  </si>
  <si>
    <t>Chirie minimă art.8 alin 9.4</t>
  </si>
  <si>
    <t>Cuantum recuperare investiție                                               Calcul virarea ANL</t>
  </si>
  <si>
    <t>Virat către ANL</t>
  </si>
  <si>
    <t>Chirie lunara</t>
  </si>
  <si>
    <t>Valoare chirie dupa ponderare</t>
  </si>
  <si>
    <t>Amortizarea lunara</t>
  </si>
  <si>
    <t>Ponderea amortizări din chirie (%)</t>
  </si>
  <si>
    <t>3=2: 60 ANI</t>
  </si>
  <si>
    <t>4=2 X1,50%</t>
  </si>
  <si>
    <t>5= 2 x 0,5%</t>
  </si>
  <si>
    <t>6=3+4+5</t>
  </si>
  <si>
    <t>7= 6 x 10,4%</t>
  </si>
  <si>
    <t xml:space="preserve">8= 7/ 12 </t>
  </si>
  <si>
    <t>9= 8 x rang</t>
  </si>
  <si>
    <t>10= 8 x venit</t>
  </si>
  <si>
    <t>9= 8 x venit</t>
  </si>
  <si>
    <t>10.1</t>
  </si>
  <si>
    <t>10.2</t>
  </si>
  <si>
    <t>10.3</t>
  </si>
  <si>
    <t>10.4</t>
  </si>
  <si>
    <t>11</t>
  </si>
  <si>
    <t>12</t>
  </si>
  <si>
    <t>13.1</t>
  </si>
  <si>
    <t>13.2</t>
  </si>
  <si>
    <t>13.3</t>
  </si>
  <si>
    <t>PESTE 35 ANI</t>
  </si>
  <si>
    <t>Model ANEXA 1043/2021</t>
  </si>
  <si>
    <t>Actualizata2024</t>
  </si>
  <si>
    <t>Val.inv./Acd</t>
  </si>
  <si>
    <t>Str.Fantanitei nr.1B Tronson A</t>
  </si>
  <si>
    <t>Str.Fantanitei nr.1B Tronson B</t>
  </si>
  <si>
    <t>Str.Fantanitei nr.1B Tronson C</t>
  </si>
  <si>
    <t>Str.Fantanitei nr.1B Tronson D</t>
  </si>
  <si>
    <t>Str.Gen. Vasile Milea nr.2A BT1</t>
  </si>
  <si>
    <t>Str.Gen. Vasile Milea nr.2A BT2</t>
  </si>
  <si>
    <t>Str.Al. Ioan Cuza nr.30 BT3 Sc.A</t>
  </si>
  <si>
    <t>Str.Al. Ioan Cuza nr.30 BT3 Sc.B</t>
  </si>
  <si>
    <t>Total</t>
  </si>
  <si>
    <t xml:space="preserve">Str.Gral. Vasile Milea nr.2D_BT4 </t>
  </si>
  <si>
    <t>Cod unitate individuala(U)</t>
  </si>
  <si>
    <t>Chirie netă lunar</t>
  </si>
  <si>
    <t>Chirie lunară conform art.8 alin. (9.1) - 10% pentru venituri&lt; 2574lei / persoana;- 20% pentru venituri&gt; 2574 si &lt;4050 lei / persoana;- 30% pentru venituri&gt; 4050 lei / persoana;- 10% pentru care declară că nu realizează venituri venituri(10% din salariu net 2574 rezultat din salariu brut 4050lei).</t>
  </si>
  <si>
    <t>Chirie lunară finală</t>
  </si>
  <si>
    <t>7=6/12</t>
  </si>
  <si>
    <t>7= 6 x 5,6%</t>
  </si>
  <si>
    <t>8=7 x rang</t>
  </si>
  <si>
    <t>8x venit</t>
  </si>
  <si>
    <t>10</t>
  </si>
  <si>
    <t>11=10*12</t>
  </si>
  <si>
    <t>12=11 x 10,4%</t>
  </si>
  <si>
    <t>13=12 x 5,6%</t>
  </si>
  <si>
    <t>101851-C1-U05</t>
  </si>
  <si>
    <t>101851-C1-U07</t>
  </si>
  <si>
    <t>101851-C1-U08</t>
  </si>
  <si>
    <t>101851-C1-U09</t>
  </si>
  <si>
    <t>101851-C1-U10</t>
  </si>
  <si>
    <t>101851-C1-U11</t>
  </si>
  <si>
    <t>101851-C1-U13</t>
  </si>
  <si>
    <t>101851-C1-U14</t>
  </si>
  <si>
    <t>101851-C1-U15</t>
  </si>
  <si>
    <t>TOTAL</t>
  </si>
  <si>
    <t>101851-C1-U01</t>
  </si>
  <si>
    <t>101851-C1-U02</t>
  </si>
  <si>
    <t>101851-C1-U03</t>
  </si>
  <si>
    <t>101851-C1-U04</t>
  </si>
  <si>
    <t>101851-C1-U06</t>
  </si>
  <si>
    <t>101851-C1-U12</t>
  </si>
  <si>
    <t>101851-C1-U16</t>
  </si>
  <si>
    <t>Str.Al Ioan Cuza nr.30 Sc.A_BT3</t>
  </si>
  <si>
    <t>104822-C1-U01</t>
  </si>
  <si>
    <t>104822-C1-U10</t>
  </si>
  <si>
    <t>104822-C1-U02</t>
  </si>
  <si>
    <t>104822-C1-U05</t>
  </si>
  <si>
    <t>104822-C1-U06</t>
  </si>
  <si>
    <t>104822-C1-U07</t>
  </si>
  <si>
    <t>104822-C1-U08</t>
  </si>
  <si>
    <t>104822-C1-U09</t>
  </si>
  <si>
    <t>104822-C1-U11</t>
  </si>
  <si>
    <t>Str.Al Ioan Cuza nr.30 Sc.B_BT3</t>
  </si>
  <si>
    <t>104822-C1-U03</t>
  </si>
  <si>
    <t>104822-C1-U12</t>
  </si>
  <si>
    <t xml:space="preserve">Str.Gl. Vasile Milea _BT1 </t>
  </si>
  <si>
    <t>11043-C1-U06</t>
  </si>
  <si>
    <t>11043-C1-U13</t>
  </si>
  <si>
    <t xml:space="preserve">  PESTE  35 ANI</t>
  </si>
  <si>
    <t>11043-C1-U01</t>
  </si>
  <si>
    <t>11043-C1-U02</t>
  </si>
  <si>
    <t>11043-C1-U03</t>
  </si>
  <si>
    <t>11043-C1-U12</t>
  </si>
  <si>
    <t>11043-C1-U14</t>
  </si>
  <si>
    <t>11043-C1-U15</t>
  </si>
  <si>
    <t>Str.Gl. Vasile Milea _BT2</t>
  </si>
  <si>
    <t>11043-C1-U16</t>
  </si>
  <si>
    <t>11043-C1-U07</t>
  </si>
  <si>
    <t>Str.Fantanitei nr.1B Sc.A</t>
  </si>
  <si>
    <t>11035-C1-U13</t>
  </si>
  <si>
    <t>11035-C1-U14</t>
  </si>
  <si>
    <t>11035-C1-U02</t>
  </si>
  <si>
    <t>11035-C1-U03</t>
  </si>
  <si>
    <t>11035-C1-U05</t>
  </si>
  <si>
    <t>11035-C1-U09</t>
  </si>
  <si>
    <t>11035-C1-U15</t>
  </si>
  <si>
    <t>11035-C1-U16</t>
  </si>
  <si>
    <t>Str.Fantanitei nr.1B Sc.B</t>
  </si>
  <si>
    <t>11036-C2-U01</t>
  </si>
  <si>
    <t>11036-C2-U02</t>
  </si>
  <si>
    <t>11036-C2-U04</t>
  </si>
  <si>
    <t>11036-C2-U05</t>
  </si>
  <si>
    <t>11036-C2-U11</t>
  </si>
  <si>
    <t>11036-C2-U12</t>
  </si>
  <si>
    <t>11036-C2-U13</t>
  </si>
  <si>
    <t>11036-C2-U14</t>
  </si>
  <si>
    <t>11036-C2-U15</t>
  </si>
  <si>
    <t>11036-C2-U16</t>
  </si>
  <si>
    <t>Str.Fantanitei nr.1B Sc.C</t>
  </si>
  <si>
    <t>11037-C3-U04</t>
  </si>
  <si>
    <t>11037-C3-U01</t>
  </si>
  <si>
    <t>11037-C3-U02</t>
  </si>
  <si>
    <t>11037-C3-U03</t>
  </si>
  <si>
    <t>11037-C3-U07</t>
  </si>
  <si>
    <t>11037-C3-U16</t>
  </si>
  <si>
    <t>Str.Fantanitei nr.1B Sc.D</t>
  </si>
  <si>
    <t>11038-C1-U01</t>
  </si>
  <si>
    <t>11038-C1-U03</t>
  </si>
  <si>
    <t>11038-C1-U09</t>
  </si>
  <si>
    <t>11038-C1-U11</t>
  </si>
  <si>
    <t>11038-C1-U12</t>
  </si>
  <si>
    <t>11038-C1-U13</t>
  </si>
  <si>
    <t>11038-C1-U14</t>
  </si>
  <si>
    <t>11038-C1-U15</t>
  </si>
  <si>
    <t>11038-C1-U16</t>
  </si>
  <si>
    <t>11038-C1-U06</t>
  </si>
  <si>
    <t>Sef S.I.A.D.P.P,</t>
  </si>
  <si>
    <t xml:space="preserve">    Ciubuc Cristian</t>
  </si>
  <si>
    <t>Viză C.F.P.P,</t>
  </si>
  <si>
    <t>Bulat Neriman</t>
  </si>
  <si>
    <t>Întocmit,</t>
  </si>
  <si>
    <t>Munteanu Ligia</t>
  </si>
  <si>
    <t xml:space="preserve">                                                </t>
  </si>
  <si>
    <t>Recalculare chirii actualizate cu rata inflației comunicata de INS de 5,6 pe anulul 2024 pentru tineri până în 35 ani și peste 35 ani aferente anului 2026</t>
  </si>
  <si>
    <t>Chirie netă anuală actualizată  INS %       2025</t>
  </si>
  <si>
    <t>14=12x?</t>
  </si>
  <si>
    <t>16.1</t>
  </si>
  <si>
    <t>16.2</t>
  </si>
  <si>
    <t>16.3</t>
  </si>
  <si>
    <t>de modif salariu minim pe ec</t>
  </si>
  <si>
    <t>9.1</t>
  </si>
  <si>
    <t>9.2</t>
  </si>
  <si>
    <t>9.3</t>
  </si>
  <si>
    <t>9.4</t>
  </si>
  <si>
    <t>Varga</t>
  </si>
  <si>
    <t>Lupascu</t>
  </si>
  <si>
    <t>Stanciuc</t>
  </si>
  <si>
    <t>Isa</t>
  </si>
  <si>
    <t>Trandafir</t>
  </si>
  <si>
    <t>Boglea</t>
  </si>
  <si>
    <t>Secuiu</t>
  </si>
  <si>
    <t>Suditu</t>
  </si>
  <si>
    <t>Bănică F.</t>
  </si>
  <si>
    <t>Costea</t>
  </si>
  <si>
    <t>Bănică M.</t>
  </si>
  <si>
    <t>Sarcinschi</t>
  </si>
  <si>
    <t>Plamenat</t>
  </si>
  <si>
    <t>Stoica</t>
  </si>
  <si>
    <t>Rusu</t>
  </si>
  <si>
    <t>Butnaru</t>
  </si>
  <si>
    <t>Cîrciu</t>
  </si>
  <si>
    <t>Mihăilă</t>
  </si>
  <si>
    <t>Trifan</t>
  </si>
  <si>
    <t>Anghel</t>
  </si>
  <si>
    <t>Iliescu</t>
  </si>
  <si>
    <t>Pelin</t>
  </si>
  <si>
    <t>Piron</t>
  </si>
  <si>
    <t>Arion</t>
  </si>
  <si>
    <t>Popescu</t>
  </si>
  <si>
    <t>Velixar</t>
  </si>
  <si>
    <t>Zugravu</t>
  </si>
  <si>
    <t>Mihai</t>
  </si>
  <si>
    <t>Mandea</t>
  </si>
  <si>
    <t>Diță</t>
  </si>
  <si>
    <t>Culea</t>
  </si>
  <si>
    <t>Panov</t>
  </si>
  <si>
    <t>Șerban</t>
  </si>
  <si>
    <t>Toma</t>
  </si>
  <si>
    <t>Hăvîrneanu</t>
  </si>
  <si>
    <t>Cuzub</t>
  </si>
  <si>
    <t>Pană</t>
  </si>
  <si>
    <t>Dumuitru</t>
  </si>
  <si>
    <t>Ghiță</t>
  </si>
  <si>
    <t>Rohozneanu</t>
  </si>
  <si>
    <t>Tasoglu</t>
  </si>
  <si>
    <t>Pocora</t>
  </si>
  <si>
    <t>Burcea</t>
  </si>
  <si>
    <t>Stroeșteanu</t>
  </si>
  <si>
    <t>Munteanu</t>
  </si>
  <si>
    <t>Șoperlă</t>
  </si>
  <si>
    <t>Răucescu</t>
  </si>
  <si>
    <t>Grigore</t>
  </si>
  <si>
    <t>Iordache</t>
  </si>
  <si>
    <t>Gheorghiu</t>
  </si>
  <si>
    <t>Rachieru</t>
  </si>
  <si>
    <t>Vasile</t>
  </si>
  <si>
    <t>Muha</t>
  </si>
  <si>
    <t>Gradinariu</t>
  </si>
  <si>
    <t>Agapie</t>
  </si>
  <si>
    <t>Petrescu</t>
  </si>
  <si>
    <t>Roman</t>
  </si>
  <si>
    <t>Barbu</t>
  </si>
  <si>
    <t>Neacșu</t>
  </si>
  <si>
    <t>Bocșe</t>
  </si>
  <si>
    <t>Axinte</t>
  </si>
  <si>
    <t>Carabineru</t>
  </si>
  <si>
    <t>Leonte</t>
  </si>
  <si>
    <t>Smaranda</t>
  </si>
  <si>
    <t>Pșdurariu</t>
  </si>
  <si>
    <t>Pavel</t>
  </si>
  <si>
    <t>Sima</t>
  </si>
  <si>
    <t>Crețu</t>
  </si>
  <si>
    <t>Mocanu</t>
  </si>
  <si>
    <t>Oprea</t>
  </si>
  <si>
    <t>Ichim</t>
  </si>
  <si>
    <t>Brutcă</t>
  </si>
  <si>
    <t>Droanță</t>
  </si>
  <si>
    <t>Bîcă</t>
  </si>
  <si>
    <t>Irizea</t>
  </si>
  <si>
    <t>Novac</t>
  </si>
  <si>
    <t>15=14/12</t>
  </si>
  <si>
    <t>Fătu</t>
  </si>
  <si>
    <t>Chirie netă anuală actualizată  INS %      2023</t>
  </si>
  <si>
    <t>Chirie netă anuală actualizată  INS %       2024</t>
  </si>
  <si>
    <t>Recalculare chirii pentru tineri până în 35 ani  aferente anului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</si>
</sst>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\(0.00\)"/>
  </numFmts>
  <fonts count="27" x14ac:knownFonts="1">
    <font>
      <sz val="11"/>
      <color theme="1"/>
      <name val="Calibri"/>
      <charset val="238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B0F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0"/>
      <color theme="8" tint="-0.499984740745262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Verdana"/>
      <family val="2"/>
    </font>
    <font>
      <sz val="10"/>
      <color rgb="FF00B0F0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92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vertical="center"/>
    </xf>
    <xf numFmtId="2" fontId="2" fillId="0" borderId="0" xfId="1" applyNumberFormat="1" applyFont="1">
      <alignment vertical="center"/>
    </xf>
    <xf numFmtId="0" fontId="2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Border="1">
      <alignment vertical="center"/>
    </xf>
    <xf numFmtId="0" fontId="2" fillId="0" borderId="3" xfId="1" applyFont="1" applyFill="1" applyBorder="1">
      <alignment vertical="center"/>
    </xf>
    <xf numFmtId="0" fontId="6" fillId="0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16" fontId="6" fillId="0" borderId="3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8" fillId="0" borderId="0" xfId="0" applyFont="1"/>
    <xf numFmtId="0" fontId="5" fillId="6" borderId="3" xfId="1" applyFont="1" applyFill="1" applyBorder="1" applyAlignment="1">
      <alignment horizontal="center" vertical="center" wrapText="1"/>
    </xf>
    <xf numFmtId="9" fontId="5" fillId="7" borderId="3" xfId="1" applyNumberFormat="1" applyFont="1" applyFill="1" applyBorder="1" applyAlignment="1">
      <alignment horizontal="center" vertical="center" wrapText="1"/>
    </xf>
    <xf numFmtId="9" fontId="2" fillId="7" borderId="3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/>
    </xf>
    <xf numFmtId="2" fontId="12" fillId="0" borderId="3" xfId="1" applyNumberFormat="1" applyFont="1" applyFill="1" applyBorder="1" applyAlignment="1">
      <alignment horizontal="center" vertical="center"/>
    </xf>
    <xf numFmtId="49" fontId="2" fillId="8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right" vertical="center"/>
    </xf>
    <xf numFmtId="164" fontId="2" fillId="0" borderId="3" xfId="1" applyNumberFormat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2" fontId="2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Fill="1">
      <alignment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2" fontId="4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/>
    </xf>
    <xf numFmtId="2" fontId="1" fillId="0" borderId="0" xfId="1" applyNumberFormat="1" applyFill="1" applyAlignment="1">
      <alignment vertical="center"/>
    </xf>
    <xf numFmtId="0" fontId="10" fillId="2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1" fillId="0" borderId="0" xfId="1" applyFill="1">
      <alignment vertical="center"/>
    </xf>
    <xf numFmtId="2" fontId="4" fillId="0" borderId="0" xfId="1" applyNumberFormat="1" applyFont="1">
      <alignment vertical="center"/>
    </xf>
    <xf numFmtId="2" fontId="13" fillId="0" borderId="0" xfId="1" applyNumberFormat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2" fontId="14" fillId="0" borderId="0" xfId="1" applyNumberFormat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2" fontId="1" fillId="0" borderId="0" xfId="1" applyNumberFormat="1">
      <alignment vertical="center"/>
    </xf>
    <xf numFmtId="2" fontId="16" fillId="0" borderId="0" xfId="1" applyNumberFormat="1" applyFont="1">
      <alignment vertical="center"/>
    </xf>
    <xf numFmtId="2" fontId="17" fillId="0" borderId="0" xfId="1" applyNumberFormat="1" applyFont="1">
      <alignment vertical="center"/>
    </xf>
    <xf numFmtId="2" fontId="15" fillId="0" borderId="0" xfId="1" applyNumberFormat="1" applyFont="1">
      <alignment vertical="center"/>
    </xf>
    <xf numFmtId="0" fontId="16" fillId="0" borderId="0" xfId="1" applyFont="1">
      <alignment vertical="center"/>
    </xf>
    <xf numFmtId="0" fontId="19" fillId="0" borderId="3" xfId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2" borderId="3" xfId="1" applyFill="1" applyBorder="1" applyAlignment="1">
      <alignment horizontal="center" vertical="center"/>
    </xf>
    <xf numFmtId="2" fontId="1" fillId="2" borderId="3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/>
    </xf>
    <xf numFmtId="2" fontId="16" fillId="2" borderId="3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2" borderId="3" xfId="1" applyFill="1" applyBorder="1">
      <alignment vertical="center"/>
    </xf>
    <xf numFmtId="2" fontId="1" fillId="2" borderId="3" xfId="1" applyNumberFormat="1" applyFill="1" applyBorder="1">
      <alignment vertical="center"/>
    </xf>
    <xf numFmtId="0" fontId="1" fillId="2" borderId="3" xfId="1" applyFill="1" applyBorder="1" applyAlignment="1">
      <alignment vertical="center" wrapText="1"/>
    </xf>
    <xf numFmtId="0" fontId="16" fillId="0" borderId="3" xfId="1" applyFont="1" applyBorder="1" applyAlignment="1">
      <alignment horizontal="center" vertical="center"/>
    </xf>
    <xf numFmtId="0" fontId="16" fillId="0" borderId="3" xfId="1" applyFont="1" applyBorder="1">
      <alignment vertical="center"/>
    </xf>
    <xf numFmtId="2" fontId="16" fillId="0" borderId="3" xfId="1" applyNumberFormat="1" applyFont="1" applyBorder="1">
      <alignment vertical="center"/>
    </xf>
    <xf numFmtId="0" fontId="18" fillId="2" borderId="3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9" fontId="18" fillId="7" borderId="3" xfId="1" applyNumberFormat="1" applyFont="1" applyFill="1" applyBorder="1" applyAlignment="1">
      <alignment horizontal="center" vertical="center" wrapText="1"/>
    </xf>
    <xf numFmtId="49" fontId="19" fillId="0" borderId="3" xfId="1" applyNumberFormat="1" applyFont="1" applyBorder="1" applyAlignment="1">
      <alignment horizontal="center" vertical="center"/>
    </xf>
    <xf numFmtId="2" fontId="1" fillId="0" borderId="3" xfId="1" applyNumberFormat="1" applyBorder="1">
      <alignment vertical="center"/>
    </xf>
    <xf numFmtId="9" fontId="21" fillId="7" borderId="3" xfId="1" applyNumberFormat="1" applyFont="1" applyFill="1" applyBorder="1" applyAlignment="1">
      <alignment horizontal="center" vertical="center" wrapText="1"/>
    </xf>
    <xf numFmtId="49" fontId="1" fillId="8" borderId="3" xfId="1" applyNumberFormat="1" applyFill="1" applyBorder="1" applyAlignment="1">
      <alignment horizontal="center" vertical="center" wrapText="1"/>
    </xf>
    <xf numFmtId="2" fontId="22" fillId="2" borderId="3" xfId="1" applyNumberFormat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2" fontId="23" fillId="2" borderId="3" xfId="1" applyNumberFormat="1" applyFont="1" applyFill="1" applyBorder="1" applyAlignment="1">
      <alignment horizontal="center" vertical="center"/>
    </xf>
    <xf numFmtId="2" fontId="23" fillId="0" borderId="3" xfId="1" applyNumberFormat="1" applyFont="1" applyBorder="1">
      <alignment vertical="center"/>
    </xf>
    <xf numFmtId="2" fontId="16" fillId="0" borderId="3" xfId="1" applyNumberFormat="1" applyFont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 wrapText="1"/>
    </xf>
    <xf numFmtId="2" fontId="16" fillId="0" borderId="3" xfId="1" applyNumberFormat="1" applyFont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2" fontId="24" fillId="0" borderId="3" xfId="1" applyNumberFormat="1" applyFont="1" applyFill="1" applyBorder="1" applyAlignment="1">
      <alignment horizontal="center" vertical="center"/>
    </xf>
    <xf numFmtId="0" fontId="2" fillId="9" borderId="0" xfId="1" applyFont="1" applyFill="1">
      <alignment vertical="center"/>
    </xf>
    <xf numFmtId="0" fontId="8" fillId="9" borderId="0" xfId="0" applyFont="1" applyFill="1"/>
    <xf numFmtId="0" fontId="2" fillId="10" borderId="3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right" vertical="center"/>
    </xf>
    <xf numFmtId="2" fontId="2" fillId="10" borderId="3" xfId="1" applyNumberFormat="1" applyFont="1" applyFill="1" applyBorder="1" applyAlignment="1">
      <alignment horizontal="center" vertical="center"/>
    </xf>
    <xf numFmtId="164" fontId="2" fillId="10" borderId="3" xfId="1" applyNumberFormat="1" applyFont="1" applyFill="1" applyBorder="1" applyAlignment="1">
      <alignment horizontal="center" vertical="center"/>
    </xf>
    <xf numFmtId="2" fontId="2" fillId="10" borderId="3" xfId="1" applyNumberFormat="1" applyFont="1" applyFill="1" applyBorder="1" applyAlignment="1">
      <alignment horizontal="center" vertical="center" wrapText="1"/>
    </xf>
    <xf numFmtId="2" fontId="4" fillId="10" borderId="3" xfId="1" applyNumberFormat="1" applyFont="1" applyFill="1" applyBorder="1" applyAlignment="1">
      <alignment horizontal="center" vertical="center" wrapText="1"/>
    </xf>
    <xf numFmtId="2" fontId="4" fillId="10" borderId="3" xfId="1" applyNumberFormat="1" applyFont="1" applyFill="1" applyBorder="1" applyAlignment="1">
      <alignment horizontal="center" vertical="center"/>
    </xf>
    <xf numFmtId="0" fontId="1" fillId="10" borderId="0" xfId="1" applyFill="1">
      <alignment vertical="center"/>
    </xf>
    <xf numFmtId="0" fontId="2" fillId="0" borderId="3" xfId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right" vertical="center"/>
    </xf>
    <xf numFmtId="0" fontId="2" fillId="10" borderId="3" xfId="1" applyFont="1" applyFill="1" applyBorder="1">
      <alignment vertical="center"/>
    </xf>
    <xf numFmtId="0" fontId="8" fillId="10" borderId="3" xfId="0" applyNumberFormat="1" applyFont="1" applyFill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2" fillId="0" borderId="0" xfId="1" applyFont="1" applyBorder="1">
      <alignment vertical="center"/>
    </xf>
    <xf numFmtId="4" fontId="2" fillId="0" borderId="3" xfId="1" applyNumberFormat="1" applyFont="1" applyFill="1" applyBorder="1" applyAlignment="1">
      <alignment horizontal="center" vertical="center"/>
    </xf>
    <xf numFmtId="4" fontId="12" fillId="0" borderId="3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right" vertical="center"/>
    </xf>
    <xf numFmtId="2" fontId="16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/>
  <colors>
    <mruColors>
      <color rgb="FF66FF33"/>
      <color rgb="FFCCCCFF"/>
      <color rgb="FFB2BBC5"/>
      <color rgb="FFFF0066"/>
      <color rgb="FF7448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36"/>
  <sheetViews>
    <sheetView topLeftCell="A13" zoomScale="70" zoomScaleNormal="70" workbookViewId="0">
      <selection activeCell="M28" sqref="M28"/>
    </sheetView>
  </sheetViews>
  <sheetFormatPr defaultColWidth="9.140625" defaultRowHeight="12.75" x14ac:dyDescent="0.25"/>
  <cols>
    <col min="1" max="4" width="9.140625" style="1"/>
    <col min="5" max="5" width="11.28515625" style="1" customWidth="1"/>
    <col min="6" max="6" width="13.28515625" style="1" customWidth="1"/>
    <col min="7" max="7" width="10.7109375" style="1" customWidth="1"/>
    <col min="8" max="8" width="11.28515625" style="1" customWidth="1"/>
    <col min="9" max="9" width="9.140625" style="1"/>
    <col min="10" max="10" width="12.5703125" style="1" customWidth="1"/>
    <col min="11" max="11" width="9.140625" style="1"/>
    <col min="12" max="12" width="12.7109375" style="1" customWidth="1"/>
    <col min="13" max="13" width="11.42578125" style="1" customWidth="1"/>
    <col min="14" max="14" width="10.42578125" style="1" customWidth="1"/>
    <col min="15" max="16" width="12.28515625" style="1" customWidth="1"/>
    <col min="17" max="17" width="7.28515625" style="1" customWidth="1"/>
    <col min="18" max="18" width="7" style="1" customWidth="1"/>
    <col min="19" max="19" width="6.28515625" style="1" customWidth="1"/>
    <col min="20" max="21" width="7" style="1" customWidth="1"/>
    <col min="22" max="23" width="9.140625" style="1"/>
    <col min="24" max="24" width="9.85546875" style="1" customWidth="1"/>
    <col min="25" max="25" width="10.85546875" style="1" customWidth="1"/>
    <col min="26" max="26" width="10.5703125" style="1" customWidth="1"/>
    <col min="27" max="264" width="9.140625" style="1"/>
    <col min="265" max="265" width="11.28515625" style="1" customWidth="1"/>
    <col min="266" max="266" width="13.28515625" style="1" customWidth="1"/>
    <col min="267" max="267" width="10.7109375" style="1" customWidth="1"/>
    <col min="268" max="268" width="9.5703125" style="1" customWidth="1"/>
    <col min="269" max="270" width="9.140625" style="1"/>
    <col min="271" max="271" width="12.7109375" style="1" customWidth="1"/>
    <col min="272" max="272" width="10.7109375" style="1" customWidth="1"/>
    <col min="273" max="273" width="12.5703125" style="1" customWidth="1"/>
    <col min="274" max="274" width="9.140625" style="1"/>
    <col min="275" max="275" width="11" style="1" customWidth="1"/>
    <col min="276" max="276" width="10.85546875" style="1" customWidth="1"/>
    <col min="277" max="520" width="9.140625" style="1"/>
    <col min="521" max="521" width="11.28515625" style="1" customWidth="1"/>
    <col min="522" max="522" width="13.28515625" style="1" customWidth="1"/>
    <col min="523" max="523" width="10.7109375" style="1" customWidth="1"/>
    <col min="524" max="524" width="9.5703125" style="1" customWidth="1"/>
    <col min="525" max="526" width="9.140625" style="1"/>
    <col min="527" max="527" width="12.7109375" style="1" customWidth="1"/>
    <col min="528" max="528" width="10.7109375" style="1" customWidth="1"/>
    <col min="529" max="529" width="12.5703125" style="1" customWidth="1"/>
    <col min="530" max="530" width="9.140625" style="1"/>
    <col min="531" max="531" width="11" style="1" customWidth="1"/>
    <col min="532" max="532" width="10.85546875" style="1" customWidth="1"/>
    <col min="533" max="776" width="9.140625" style="1"/>
    <col min="777" max="777" width="11.28515625" style="1" customWidth="1"/>
    <col min="778" max="778" width="13.28515625" style="1" customWidth="1"/>
    <col min="779" max="779" width="10.7109375" style="1" customWidth="1"/>
    <col min="780" max="780" width="9.5703125" style="1" customWidth="1"/>
    <col min="781" max="782" width="9.140625" style="1"/>
    <col min="783" max="783" width="12.7109375" style="1" customWidth="1"/>
    <col min="784" max="784" width="10.7109375" style="1" customWidth="1"/>
    <col min="785" max="785" width="12.5703125" style="1" customWidth="1"/>
    <col min="786" max="786" width="9.140625" style="1"/>
    <col min="787" max="787" width="11" style="1" customWidth="1"/>
    <col min="788" max="788" width="10.85546875" style="1" customWidth="1"/>
    <col min="789" max="1032" width="9.140625" style="1"/>
    <col min="1033" max="1033" width="11.28515625" style="1" customWidth="1"/>
    <col min="1034" max="1034" width="13.28515625" style="1" customWidth="1"/>
    <col min="1035" max="1035" width="10.7109375" style="1" customWidth="1"/>
    <col min="1036" max="1036" width="9.5703125" style="1" customWidth="1"/>
    <col min="1037" max="1038" width="9.140625" style="1"/>
    <col min="1039" max="1039" width="12.7109375" style="1" customWidth="1"/>
    <col min="1040" max="1040" width="10.7109375" style="1" customWidth="1"/>
    <col min="1041" max="1041" width="12.5703125" style="1" customWidth="1"/>
    <col min="1042" max="1042" width="9.140625" style="1"/>
    <col min="1043" max="1043" width="11" style="1" customWidth="1"/>
    <col min="1044" max="1044" width="10.85546875" style="1" customWidth="1"/>
    <col min="1045" max="1288" width="9.140625" style="1"/>
    <col min="1289" max="1289" width="11.28515625" style="1" customWidth="1"/>
    <col min="1290" max="1290" width="13.28515625" style="1" customWidth="1"/>
    <col min="1291" max="1291" width="10.7109375" style="1" customWidth="1"/>
    <col min="1292" max="1292" width="9.5703125" style="1" customWidth="1"/>
    <col min="1293" max="1294" width="9.140625" style="1"/>
    <col min="1295" max="1295" width="12.7109375" style="1" customWidth="1"/>
    <col min="1296" max="1296" width="10.7109375" style="1" customWidth="1"/>
    <col min="1297" max="1297" width="12.5703125" style="1" customWidth="1"/>
    <col min="1298" max="1298" width="9.140625" style="1"/>
    <col min="1299" max="1299" width="11" style="1" customWidth="1"/>
    <col min="1300" max="1300" width="10.85546875" style="1" customWidth="1"/>
    <col min="1301" max="1544" width="9.140625" style="1"/>
    <col min="1545" max="1545" width="11.28515625" style="1" customWidth="1"/>
    <col min="1546" max="1546" width="13.28515625" style="1" customWidth="1"/>
    <col min="1547" max="1547" width="10.7109375" style="1" customWidth="1"/>
    <col min="1548" max="1548" width="9.5703125" style="1" customWidth="1"/>
    <col min="1549" max="1550" width="9.140625" style="1"/>
    <col min="1551" max="1551" width="12.7109375" style="1" customWidth="1"/>
    <col min="1552" max="1552" width="10.7109375" style="1" customWidth="1"/>
    <col min="1553" max="1553" width="12.5703125" style="1" customWidth="1"/>
    <col min="1554" max="1554" width="9.140625" style="1"/>
    <col min="1555" max="1555" width="11" style="1" customWidth="1"/>
    <col min="1556" max="1556" width="10.85546875" style="1" customWidth="1"/>
    <col min="1557" max="1800" width="9.140625" style="1"/>
    <col min="1801" max="1801" width="11.28515625" style="1" customWidth="1"/>
    <col min="1802" max="1802" width="13.28515625" style="1" customWidth="1"/>
    <col min="1803" max="1803" width="10.7109375" style="1" customWidth="1"/>
    <col min="1804" max="1804" width="9.5703125" style="1" customWidth="1"/>
    <col min="1805" max="1806" width="9.140625" style="1"/>
    <col min="1807" max="1807" width="12.7109375" style="1" customWidth="1"/>
    <col min="1808" max="1808" width="10.7109375" style="1" customWidth="1"/>
    <col min="1809" max="1809" width="12.5703125" style="1" customWidth="1"/>
    <col min="1810" max="1810" width="9.140625" style="1"/>
    <col min="1811" max="1811" width="11" style="1" customWidth="1"/>
    <col min="1812" max="1812" width="10.85546875" style="1" customWidth="1"/>
    <col min="1813" max="2056" width="9.140625" style="1"/>
    <col min="2057" max="2057" width="11.28515625" style="1" customWidth="1"/>
    <col min="2058" max="2058" width="13.28515625" style="1" customWidth="1"/>
    <col min="2059" max="2059" width="10.7109375" style="1" customWidth="1"/>
    <col min="2060" max="2060" width="9.5703125" style="1" customWidth="1"/>
    <col min="2061" max="2062" width="9.140625" style="1"/>
    <col min="2063" max="2063" width="12.7109375" style="1" customWidth="1"/>
    <col min="2064" max="2064" width="10.7109375" style="1" customWidth="1"/>
    <col min="2065" max="2065" width="12.5703125" style="1" customWidth="1"/>
    <col min="2066" max="2066" width="9.140625" style="1"/>
    <col min="2067" max="2067" width="11" style="1" customWidth="1"/>
    <col min="2068" max="2068" width="10.85546875" style="1" customWidth="1"/>
    <col min="2069" max="2312" width="9.140625" style="1"/>
    <col min="2313" max="2313" width="11.28515625" style="1" customWidth="1"/>
    <col min="2314" max="2314" width="13.28515625" style="1" customWidth="1"/>
    <col min="2315" max="2315" width="10.7109375" style="1" customWidth="1"/>
    <col min="2316" max="2316" width="9.5703125" style="1" customWidth="1"/>
    <col min="2317" max="2318" width="9.140625" style="1"/>
    <col min="2319" max="2319" width="12.7109375" style="1" customWidth="1"/>
    <col min="2320" max="2320" width="10.7109375" style="1" customWidth="1"/>
    <col min="2321" max="2321" width="12.5703125" style="1" customWidth="1"/>
    <col min="2322" max="2322" width="9.140625" style="1"/>
    <col min="2323" max="2323" width="11" style="1" customWidth="1"/>
    <col min="2324" max="2324" width="10.85546875" style="1" customWidth="1"/>
    <col min="2325" max="2568" width="9.140625" style="1"/>
    <col min="2569" max="2569" width="11.28515625" style="1" customWidth="1"/>
    <col min="2570" max="2570" width="13.28515625" style="1" customWidth="1"/>
    <col min="2571" max="2571" width="10.7109375" style="1" customWidth="1"/>
    <col min="2572" max="2572" width="9.5703125" style="1" customWidth="1"/>
    <col min="2573" max="2574" width="9.140625" style="1"/>
    <col min="2575" max="2575" width="12.7109375" style="1" customWidth="1"/>
    <col min="2576" max="2576" width="10.7109375" style="1" customWidth="1"/>
    <col min="2577" max="2577" width="12.5703125" style="1" customWidth="1"/>
    <col min="2578" max="2578" width="9.140625" style="1"/>
    <col min="2579" max="2579" width="11" style="1" customWidth="1"/>
    <col min="2580" max="2580" width="10.85546875" style="1" customWidth="1"/>
    <col min="2581" max="2824" width="9.140625" style="1"/>
    <col min="2825" max="2825" width="11.28515625" style="1" customWidth="1"/>
    <col min="2826" max="2826" width="13.28515625" style="1" customWidth="1"/>
    <col min="2827" max="2827" width="10.7109375" style="1" customWidth="1"/>
    <col min="2828" max="2828" width="9.5703125" style="1" customWidth="1"/>
    <col min="2829" max="2830" width="9.140625" style="1"/>
    <col min="2831" max="2831" width="12.7109375" style="1" customWidth="1"/>
    <col min="2832" max="2832" width="10.7109375" style="1" customWidth="1"/>
    <col min="2833" max="2833" width="12.5703125" style="1" customWidth="1"/>
    <col min="2834" max="2834" width="9.140625" style="1"/>
    <col min="2835" max="2835" width="11" style="1" customWidth="1"/>
    <col min="2836" max="2836" width="10.85546875" style="1" customWidth="1"/>
    <col min="2837" max="3080" width="9.140625" style="1"/>
    <col min="3081" max="3081" width="11.28515625" style="1" customWidth="1"/>
    <col min="3082" max="3082" width="13.28515625" style="1" customWidth="1"/>
    <col min="3083" max="3083" width="10.7109375" style="1" customWidth="1"/>
    <col min="3084" max="3084" width="9.5703125" style="1" customWidth="1"/>
    <col min="3085" max="3086" width="9.140625" style="1"/>
    <col min="3087" max="3087" width="12.7109375" style="1" customWidth="1"/>
    <col min="3088" max="3088" width="10.7109375" style="1" customWidth="1"/>
    <col min="3089" max="3089" width="12.5703125" style="1" customWidth="1"/>
    <col min="3090" max="3090" width="9.140625" style="1"/>
    <col min="3091" max="3091" width="11" style="1" customWidth="1"/>
    <col min="3092" max="3092" width="10.85546875" style="1" customWidth="1"/>
    <col min="3093" max="3336" width="9.140625" style="1"/>
    <col min="3337" max="3337" width="11.28515625" style="1" customWidth="1"/>
    <col min="3338" max="3338" width="13.28515625" style="1" customWidth="1"/>
    <col min="3339" max="3339" width="10.7109375" style="1" customWidth="1"/>
    <col min="3340" max="3340" width="9.5703125" style="1" customWidth="1"/>
    <col min="3341" max="3342" width="9.140625" style="1"/>
    <col min="3343" max="3343" width="12.7109375" style="1" customWidth="1"/>
    <col min="3344" max="3344" width="10.7109375" style="1" customWidth="1"/>
    <col min="3345" max="3345" width="12.5703125" style="1" customWidth="1"/>
    <col min="3346" max="3346" width="9.140625" style="1"/>
    <col min="3347" max="3347" width="11" style="1" customWidth="1"/>
    <col min="3348" max="3348" width="10.85546875" style="1" customWidth="1"/>
    <col min="3349" max="3592" width="9.140625" style="1"/>
    <col min="3593" max="3593" width="11.28515625" style="1" customWidth="1"/>
    <col min="3594" max="3594" width="13.28515625" style="1" customWidth="1"/>
    <col min="3595" max="3595" width="10.7109375" style="1" customWidth="1"/>
    <col min="3596" max="3596" width="9.5703125" style="1" customWidth="1"/>
    <col min="3597" max="3598" width="9.140625" style="1"/>
    <col min="3599" max="3599" width="12.7109375" style="1" customWidth="1"/>
    <col min="3600" max="3600" width="10.7109375" style="1" customWidth="1"/>
    <col min="3601" max="3601" width="12.5703125" style="1" customWidth="1"/>
    <col min="3602" max="3602" width="9.140625" style="1"/>
    <col min="3603" max="3603" width="11" style="1" customWidth="1"/>
    <col min="3604" max="3604" width="10.85546875" style="1" customWidth="1"/>
    <col min="3605" max="3848" width="9.140625" style="1"/>
    <col min="3849" max="3849" width="11.28515625" style="1" customWidth="1"/>
    <col min="3850" max="3850" width="13.28515625" style="1" customWidth="1"/>
    <col min="3851" max="3851" width="10.7109375" style="1" customWidth="1"/>
    <col min="3852" max="3852" width="9.5703125" style="1" customWidth="1"/>
    <col min="3853" max="3854" width="9.140625" style="1"/>
    <col min="3855" max="3855" width="12.7109375" style="1" customWidth="1"/>
    <col min="3856" max="3856" width="10.7109375" style="1" customWidth="1"/>
    <col min="3857" max="3857" width="12.5703125" style="1" customWidth="1"/>
    <col min="3858" max="3858" width="9.140625" style="1"/>
    <col min="3859" max="3859" width="11" style="1" customWidth="1"/>
    <col min="3860" max="3860" width="10.85546875" style="1" customWidth="1"/>
    <col min="3861" max="4104" width="9.140625" style="1"/>
    <col min="4105" max="4105" width="11.28515625" style="1" customWidth="1"/>
    <col min="4106" max="4106" width="13.28515625" style="1" customWidth="1"/>
    <col min="4107" max="4107" width="10.7109375" style="1" customWidth="1"/>
    <col min="4108" max="4108" width="9.5703125" style="1" customWidth="1"/>
    <col min="4109" max="4110" width="9.140625" style="1"/>
    <col min="4111" max="4111" width="12.7109375" style="1" customWidth="1"/>
    <col min="4112" max="4112" width="10.7109375" style="1" customWidth="1"/>
    <col min="4113" max="4113" width="12.5703125" style="1" customWidth="1"/>
    <col min="4114" max="4114" width="9.140625" style="1"/>
    <col min="4115" max="4115" width="11" style="1" customWidth="1"/>
    <col min="4116" max="4116" width="10.85546875" style="1" customWidth="1"/>
    <col min="4117" max="4360" width="9.140625" style="1"/>
    <col min="4361" max="4361" width="11.28515625" style="1" customWidth="1"/>
    <col min="4362" max="4362" width="13.28515625" style="1" customWidth="1"/>
    <col min="4363" max="4363" width="10.7109375" style="1" customWidth="1"/>
    <col min="4364" max="4364" width="9.5703125" style="1" customWidth="1"/>
    <col min="4365" max="4366" width="9.140625" style="1"/>
    <col min="4367" max="4367" width="12.7109375" style="1" customWidth="1"/>
    <col min="4368" max="4368" width="10.7109375" style="1" customWidth="1"/>
    <col min="4369" max="4369" width="12.5703125" style="1" customWidth="1"/>
    <col min="4370" max="4370" width="9.140625" style="1"/>
    <col min="4371" max="4371" width="11" style="1" customWidth="1"/>
    <col min="4372" max="4372" width="10.85546875" style="1" customWidth="1"/>
    <col min="4373" max="4616" width="9.140625" style="1"/>
    <col min="4617" max="4617" width="11.28515625" style="1" customWidth="1"/>
    <col min="4618" max="4618" width="13.28515625" style="1" customWidth="1"/>
    <col min="4619" max="4619" width="10.7109375" style="1" customWidth="1"/>
    <col min="4620" max="4620" width="9.5703125" style="1" customWidth="1"/>
    <col min="4621" max="4622" width="9.140625" style="1"/>
    <col min="4623" max="4623" width="12.7109375" style="1" customWidth="1"/>
    <col min="4624" max="4624" width="10.7109375" style="1" customWidth="1"/>
    <col min="4625" max="4625" width="12.5703125" style="1" customWidth="1"/>
    <col min="4626" max="4626" width="9.140625" style="1"/>
    <col min="4627" max="4627" width="11" style="1" customWidth="1"/>
    <col min="4628" max="4628" width="10.85546875" style="1" customWidth="1"/>
    <col min="4629" max="4872" width="9.140625" style="1"/>
    <col min="4873" max="4873" width="11.28515625" style="1" customWidth="1"/>
    <col min="4874" max="4874" width="13.28515625" style="1" customWidth="1"/>
    <col min="4875" max="4875" width="10.7109375" style="1" customWidth="1"/>
    <col min="4876" max="4876" width="9.5703125" style="1" customWidth="1"/>
    <col min="4877" max="4878" width="9.140625" style="1"/>
    <col min="4879" max="4879" width="12.7109375" style="1" customWidth="1"/>
    <col min="4880" max="4880" width="10.7109375" style="1" customWidth="1"/>
    <col min="4881" max="4881" width="12.5703125" style="1" customWidth="1"/>
    <col min="4882" max="4882" width="9.140625" style="1"/>
    <col min="4883" max="4883" width="11" style="1" customWidth="1"/>
    <col min="4884" max="4884" width="10.85546875" style="1" customWidth="1"/>
    <col min="4885" max="5128" width="9.140625" style="1"/>
    <col min="5129" max="5129" width="11.28515625" style="1" customWidth="1"/>
    <col min="5130" max="5130" width="13.28515625" style="1" customWidth="1"/>
    <col min="5131" max="5131" width="10.7109375" style="1" customWidth="1"/>
    <col min="5132" max="5132" width="9.5703125" style="1" customWidth="1"/>
    <col min="5133" max="5134" width="9.140625" style="1"/>
    <col min="5135" max="5135" width="12.7109375" style="1" customWidth="1"/>
    <col min="5136" max="5136" width="10.7109375" style="1" customWidth="1"/>
    <col min="5137" max="5137" width="12.5703125" style="1" customWidth="1"/>
    <col min="5138" max="5138" width="9.140625" style="1"/>
    <col min="5139" max="5139" width="11" style="1" customWidth="1"/>
    <col min="5140" max="5140" width="10.85546875" style="1" customWidth="1"/>
    <col min="5141" max="5384" width="9.140625" style="1"/>
    <col min="5385" max="5385" width="11.28515625" style="1" customWidth="1"/>
    <col min="5386" max="5386" width="13.28515625" style="1" customWidth="1"/>
    <col min="5387" max="5387" width="10.7109375" style="1" customWidth="1"/>
    <col min="5388" max="5388" width="9.5703125" style="1" customWidth="1"/>
    <col min="5389" max="5390" width="9.140625" style="1"/>
    <col min="5391" max="5391" width="12.7109375" style="1" customWidth="1"/>
    <col min="5392" max="5392" width="10.7109375" style="1" customWidth="1"/>
    <col min="5393" max="5393" width="12.5703125" style="1" customWidth="1"/>
    <col min="5394" max="5394" width="9.140625" style="1"/>
    <col min="5395" max="5395" width="11" style="1" customWidth="1"/>
    <col min="5396" max="5396" width="10.85546875" style="1" customWidth="1"/>
    <col min="5397" max="5640" width="9.140625" style="1"/>
    <col min="5641" max="5641" width="11.28515625" style="1" customWidth="1"/>
    <col min="5642" max="5642" width="13.28515625" style="1" customWidth="1"/>
    <col min="5643" max="5643" width="10.7109375" style="1" customWidth="1"/>
    <col min="5644" max="5644" width="9.5703125" style="1" customWidth="1"/>
    <col min="5645" max="5646" width="9.140625" style="1"/>
    <col min="5647" max="5647" width="12.7109375" style="1" customWidth="1"/>
    <col min="5648" max="5648" width="10.7109375" style="1" customWidth="1"/>
    <col min="5649" max="5649" width="12.5703125" style="1" customWidth="1"/>
    <col min="5650" max="5650" width="9.140625" style="1"/>
    <col min="5651" max="5651" width="11" style="1" customWidth="1"/>
    <col min="5652" max="5652" width="10.85546875" style="1" customWidth="1"/>
    <col min="5653" max="5896" width="9.140625" style="1"/>
    <col min="5897" max="5897" width="11.28515625" style="1" customWidth="1"/>
    <col min="5898" max="5898" width="13.28515625" style="1" customWidth="1"/>
    <col min="5899" max="5899" width="10.7109375" style="1" customWidth="1"/>
    <col min="5900" max="5900" width="9.5703125" style="1" customWidth="1"/>
    <col min="5901" max="5902" width="9.140625" style="1"/>
    <col min="5903" max="5903" width="12.7109375" style="1" customWidth="1"/>
    <col min="5904" max="5904" width="10.7109375" style="1" customWidth="1"/>
    <col min="5905" max="5905" width="12.5703125" style="1" customWidth="1"/>
    <col min="5906" max="5906" width="9.140625" style="1"/>
    <col min="5907" max="5907" width="11" style="1" customWidth="1"/>
    <col min="5908" max="5908" width="10.85546875" style="1" customWidth="1"/>
    <col min="5909" max="6152" width="9.140625" style="1"/>
    <col min="6153" max="6153" width="11.28515625" style="1" customWidth="1"/>
    <col min="6154" max="6154" width="13.28515625" style="1" customWidth="1"/>
    <col min="6155" max="6155" width="10.7109375" style="1" customWidth="1"/>
    <col min="6156" max="6156" width="9.5703125" style="1" customWidth="1"/>
    <col min="6157" max="6158" width="9.140625" style="1"/>
    <col min="6159" max="6159" width="12.7109375" style="1" customWidth="1"/>
    <col min="6160" max="6160" width="10.7109375" style="1" customWidth="1"/>
    <col min="6161" max="6161" width="12.5703125" style="1" customWidth="1"/>
    <col min="6162" max="6162" width="9.140625" style="1"/>
    <col min="6163" max="6163" width="11" style="1" customWidth="1"/>
    <col min="6164" max="6164" width="10.85546875" style="1" customWidth="1"/>
    <col min="6165" max="6408" width="9.140625" style="1"/>
    <col min="6409" max="6409" width="11.28515625" style="1" customWidth="1"/>
    <col min="6410" max="6410" width="13.28515625" style="1" customWidth="1"/>
    <col min="6411" max="6411" width="10.7109375" style="1" customWidth="1"/>
    <col min="6412" max="6412" width="9.5703125" style="1" customWidth="1"/>
    <col min="6413" max="6414" width="9.140625" style="1"/>
    <col min="6415" max="6415" width="12.7109375" style="1" customWidth="1"/>
    <col min="6416" max="6416" width="10.7109375" style="1" customWidth="1"/>
    <col min="6417" max="6417" width="12.5703125" style="1" customWidth="1"/>
    <col min="6418" max="6418" width="9.140625" style="1"/>
    <col min="6419" max="6419" width="11" style="1" customWidth="1"/>
    <col min="6420" max="6420" width="10.85546875" style="1" customWidth="1"/>
    <col min="6421" max="6664" width="9.140625" style="1"/>
    <col min="6665" max="6665" width="11.28515625" style="1" customWidth="1"/>
    <col min="6666" max="6666" width="13.28515625" style="1" customWidth="1"/>
    <col min="6667" max="6667" width="10.7109375" style="1" customWidth="1"/>
    <col min="6668" max="6668" width="9.5703125" style="1" customWidth="1"/>
    <col min="6669" max="6670" width="9.140625" style="1"/>
    <col min="6671" max="6671" width="12.7109375" style="1" customWidth="1"/>
    <col min="6672" max="6672" width="10.7109375" style="1" customWidth="1"/>
    <col min="6673" max="6673" width="12.5703125" style="1" customWidth="1"/>
    <col min="6674" max="6674" width="9.140625" style="1"/>
    <col min="6675" max="6675" width="11" style="1" customWidth="1"/>
    <col min="6676" max="6676" width="10.85546875" style="1" customWidth="1"/>
    <col min="6677" max="6920" width="9.140625" style="1"/>
    <col min="6921" max="6921" width="11.28515625" style="1" customWidth="1"/>
    <col min="6922" max="6922" width="13.28515625" style="1" customWidth="1"/>
    <col min="6923" max="6923" width="10.7109375" style="1" customWidth="1"/>
    <col min="6924" max="6924" width="9.5703125" style="1" customWidth="1"/>
    <col min="6925" max="6926" width="9.140625" style="1"/>
    <col min="6927" max="6927" width="12.7109375" style="1" customWidth="1"/>
    <col min="6928" max="6928" width="10.7109375" style="1" customWidth="1"/>
    <col min="6929" max="6929" width="12.5703125" style="1" customWidth="1"/>
    <col min="6930" max="6930" width="9.140625" style="1"/>
    <col min="6931" max="6931" width="11" style="1" customWidth="1"/>
    <col min="6932" max="6932" width="10.85546875" style="1" customWidth="1"/>
    <col min="6933" max="7176" width="9.140625" style="1"/>
    <col min="7177" max="7177" width="11.28515625" style="1" customWidth="1"/>
    <col min="7178" max="7178" width="13.28515625" style="1" customWidth="1"/>
    <col min="7179" max="7179" width="10.7109375" style="1" customWidth="1"/>
    <col min="7180" max="7180" width="9.5703125" style="1" customWidth="1"/>
    <col min="7181" max="7182" width="9.140625" style="1"/>
    <col min="7183" max="7183" width="12.7109375" style="1" customWidth="1"/>
    <col min="7184" max="7184" width="10.7109375" style="1" customWidth="1"/>
    <col min="7185" max="7185" width="12.5703125" style="1" customWidth="1"/>
    <col min="7186" max="7186" width="9.140625" style="1"/>
    <col min="7187" max="7187" width="11" style="1" customWidth="1"/>
    <col min="7188" max="7188" width="10.85546875" style="1" customWidth="1"/>
    <col min="7189" max="7432" width="9.140625" style="1"/>
    <col min="7433" max="7433" width="11.28515625" style="1" customWidth="1"/>
    <col min="7434" max="7434" width="13.28515625" style="1" customWidth="1"/>
    <col min="7435" max="7435" width="10.7109375" style="1" customWidth="1"/>
    <col min="7436" max="7436" width="9.5703125" style="1" customWidth="1"/>
    <col min="7437" max="7438" width="9.140625" style="1"/>
    <col min="7439" max="7439" width="12.7109375" style="1" customWidth="1"/>
    <col min="7440" max="7440" width="10.7109375" style="1" customWidth="1"/>
    <col min="7441" max="7441" width="12.5703125" style="1" customWidth="1"/>
    <col min="7442" max="7442" width="9.140625" style="1"/>
    <col min="7443" max="7443" width="11" style="1" customWidth="1"/>
    <col min="7444" max="7444" width="10.85546875" style="1" customWidth="1"/>
    <col min="7445" max="7688" width="9.140625" style="1"/>
    <col min="7689" max="7689" width="11.28515625" style="1" customWidth="1"/>
    <col min="7690" max="7690" width="13.28515625" style="1" customWidth="1"/>
    <col min="7691" max="7691" width="10.7109375" style="1" customWidth="1"/>
    <col min="7692" max="7692" width="9.5703125" style="1" customWidth="1"/>
    <col min="7693" max="7694" width="9.140625" style="1"/>
    <col min="7695" max="7695" width="12.7109375" style="1" customWidth="1"/>
    <col min="7696" max="7696" width="10.7109375" style="1" customWidth="1"/>
    <col min="7697" max="7697" width="12.5703125" style="1" customWidth="1"/>
    <col min="7698" max="7698" width="9.140625" style="1"/>
    <col min="7699" max="7699" width="11" style="1" customWidth="1"/>
    <col min="7700" max="7700" width="10.85546875" style="1" customWidth="1"/>
    <col min="7701" max="7944" width="9.140625" style="1"/>
    <col min="7945" max="7945" width="11.28515625" style="1" customWidth="1"/>
    <col min="7946" max="7946" width="13.28515625" style="1" customWidth="1"/>
    <col min="7947" max="7947" width="10.7109375" style="1" customWidth="1"/>
    <col min="7948" max="7948" width="9.5703125" style="1" customWidth="1"/>
    <col min="7949" max="7950" width="9.140625" style="1"/>
    <col min="7951" max="7951" width="12.7109375" style="1" customWidth="1"/>
    <col min="7952" max="7952" width="10.7109375" style="1" customWidth="1"/>
    <col min="7953" max="7953" width="12.5703125" style="1" customWidth="1"/>
    <col min="7954" max="7954" width="9.140625" style="1"/>
    <col min="7955" max="7955" width="11" style="1" customWidth="1"/>
    <col min="7956" max="7956" width="10.85546875" style="1" customWidth="1"/>
    <col min="7957" max="8200" width="9.140625" style="1"/>
    <col min="8201" max="8201" width="11.28515625" style="1" customWidth="1"/>
    <col min="8202" max="8202" width="13.28515625" style="1" customWidth="1"/>
    <col min="8203" max="8203" width="10.7109375" style="1" customWidth="1"/>
    <col min="8204" max="8204" width="9.5703125" style="1" customWidth="1"/>
    <col min="8205" max="8206" width="9.140625" style="1"/>
    <col min="8207" max="8207" width="12.7109375" style="1" customWidth="1"/>
    <col min="8208" max="8208" width="10.7109375" style="1" customWidth="1"/>
    <col min="8209" max="8209" width="12.5703125" style="1" customWidth="1"/>
    <col min="8210" max="8210" width="9.140625" style="1"/>
    <col min="8211" max="8211" width="11" style="1" customWidth="1"/>
    <col min="8212" max="8212" width="10.85546875" style="1" customWidth="1"/>
    <col min="8213" max="8456" width="9.140625" style="1"/>
    <col min="8457" max="8457" width="11.28515625" style="1" customWidth="1"/>
    <col min="8458" max="8458" width="13.28515625" style="1" customWidth="1"/>
    <col min="8459" max="8459" width="10.7109375" style="1" customWidth="1"/>
    <col min="8460" max="8460" width="9.5703125" style="1" customWidth="1"/>
    <col min="8461" max="8462" width="9.140625" style="1"/>
    <col min="8463" max="8463" width="12.7109375" style="1" customWidth="1"/>
    <col min="8464" max="8464" width="10.7109375" style="1" customWidth="1"/>
    <col min="8465" max="8465" width="12.5703125" style="1" customWidth="1"/>
    <col min="8466" max="8466" width="9.140625" style="1"/>
    <col min="8467" max="8467" width="11" style="1" customWidth="1"/>
    <col min="8468" max="8468" width="10.85546875" style="1" customWidth="1"/>
    <col min="8469" max="8712" width="9.140625" style="1"/>
    <col min="8713" max="8713" width="11.28515625" style="1" customWidth="1"/>
    <col min="8714" max="8714" width="13.28515625" style="1" customWidth="1"/>
    <col min="8715" max="8715" width="10.7109375" style="1" customWidth="1"/>
    <col min="8716" max="8716" width="9.5703125" style="1" customWidth="1"/>
    <col min="8717" max="8718" width="9.140625" style="1"/>
    <col min="8719" max="8719" width="12.7109375" style="1" customWidth="1"/>
    <col min="8720" max="8720" width="10.7109375" style="1" customWidth="1"/>
    <col min="8721" max="8721" width="12.5703125" style="1" customWidth="1"/>
    <col min="8722" max="8722" width="9.140625" style="1"/>
    <col min="8723" max="8723" width="11" style="1" customWidth="1"/>
    <col min="8724" max="8724" width="10.85546875" style="1" customWidth="1"/>
    <col min="8725" max="8968" width="9.140625" style="1"/>
    <col min="8969" max="8969" width="11.28515625" style="1" customWidth="1"/>
    <col min="8970" max="8970" width="13.28515625" style="1" customWidth="1"/>
    <col min="8971" max="8971" width="10.7109375" style="1" customWidth="1"/>
    <col min="8972" max="8972" width="9.5703125" style="1" customWidth="1"/>
    <col min="8973" max="8974" width="9.140625" style="1"/>
    <col min="8975" max="8975" width="12.7109375" style="1" customWidth="1"/>
    <col min="8976" max="8976" width="10.7109375" style="1" customWidth="1"/>
    <col min="8977" max="8977" width="12.5703125" style="1" customWidth="1"/>
    <col min="8978" max="8978" width="9.140625" style="1"/>
    <col min="8979" max="8979" width="11" style="1" customWidth="1"/>
    <col min="8980" max="8980" width="10.85546875" style="1" customWidth="1"/>
    <col min="8981" max="9224" width="9.140625" style="1"/>
    <col min="9225" max="9225" width="11.28515625" style="1" customWidth="1"/>
    <col min="9226" max="9226" width="13.28515625" style="1" customWidth="1"/>
    <col min="9227" max="9227" width="10.7109375" style="1" customWidth="1"/>
    <col min="9228" max="9228" width="9.5703125" style="1" customWidth="1"/>
    <col min="9229" max="9230" width="9.140625" style="1"/>
    <col min="9231" max="9231" width="12.7109375" style="1" customWidth="1"/>
    <col min="9232" max="9232" width="10.7109375" style="1" customWidth="1"/>
    <col min="9233" max="9233" width="12.5703125" style="1" customWidth="1"/>
    <col min="9234" max="9234" width="9.140625" style="1"/>
    <col min="9235" max="9235" width="11" style="1" customWidth="1"/>
    <col min="9236" max="9236" width="10.85546875" style="1" customWidth="1"/>
    <col min="9237" max="9480" width="9.140625" style="1"/>
    <col min="9481" max="9481" width="11.28515625" style="1" customWidth="1"/>
    <col min="9482" max="9482" width="13.28515625" style="1" customWidth="1"/>
    <col min="9483" max="9483" width="10.7109375" style="1" customWidth="1"/>
    <col min="9484" max="9484" width="9.5703125" style="1" customWidth="1"/>
    <col min="9485" max="9486" width="9.140625" style="1"/>
    <col min="9487" max="9487" width="12.7109375" style="1" customWidth="1"/>
    <col min="9488" max="9488" width="10.7109375" style="1" customWidth="1"/>
    <col min="9489" max="9489" width="12.5703125" style="1" customWidth="1"/>
    <col min="9490" max="9490" width="9.140625" style="1"/>
    <col min="9491" max="9491" width="11" style="1" customWidth="1"/>
    <col min="9492" max="9492" width="10.85546875" style="1" customWidth="1"/>
    <col min="9493" max="9736" width="9.140625" style="1"/>
    <col min="9737" max="9737" width="11.28515625" style="1" customWidth="1"/>
    <col min="9738" max="9738" width="13.28515625" style="1" customWidth="1"/>
    <col min="9739" max="9739" width="10.7109375" style="1" customWidth="1"/>
    <col min="9740" max="9740" width="9.5703125" style="1" customWidth="1"/>
    <col min="9741" max="9742" width="9.140625" style="1"/>
    <col min="9743" max="9743" width="12.7109375" style="1" customWidth="1"/>
    <col min="9744" max="9744" width="10.7109375" style="1" customWidth="1"/>
    <col min="9745" max="9745" width="12.5703125" style="1" customWidth="1"/>
    <col min="9746" max="9746" width="9.140625" style="1"/>
    <col min="9747" max="9747" width="11" style="1" customWidth="1"/>
    <col min="9748" max="9748" width="10.85546875" style="1" customWidth="1"/>
    <col min="9749" max="9992" width="9.140625" style="1"/>
    <col min="9993" max="9993" width="11.28515625" style="1" customWidth="1"/>
    <col min="9994" max="9994" width="13.28515625" style="1" customWidth="1"/>
    <col min="9995" max="9995" width="10.7109375" style="1" customWidth="1"/>
    <col min="9996" max="9996" width="9.5703125" style="1" customWidth="1"/>
    <col min="9997" max="9998" width="9.140625" style="1"/>
    <col min="9999" max="9999" width="12.7109375" style="1" customWidth="1"/>
    <col min="10000" max="10000" width="10.7109375" style="1" customWidth="1"/>
    <col min="10001" max="10001" width="12.5703125" style="1" customWidth="1"/>
    <col min="10002" max="10002" width="9.140625" style="1"/>
    <col min="10003" max="10003" width="11" style="1" customWidth="1"/>
    <col min="10004" max="10004" width="10.85546875" style="1" customWidth="1"/>
    <col min="10005" max="10248" width="9.140625" style="1"/>
    <col min="10249" max="10249" width="11.28515625" style="1" customWidth="1"/>
    <col min="10250" max="10250" width="13.28515625" style="1" customWidth="1"/>
    <col min="10251" max="10251" width="10.7109375" style="1" customWidth="1"/>
    <col min="10252" max="10252" width="9.5703125" style="1" customWidth="1"/>
    <col min="10253" max="10254" width="9.140625" style="1"/>
    <col min="10255" max="10255" width="12.7109375" style="1" customWidth="1"/>
    <col min="10256" max="10256" width="10.7109375" style="1" customWidth="1"/>
    <col min="10257" max="10257" width="12.5703125" style="1" customWidth="1"/>
    <col min="10258" max="10258" width="9.140625" style="1"/>
    <col min="10259" max="10259" width="11" style="1" customWidth="1"/>
    <col min="10260" max="10260" width="10.85546875" style="1" customWidth="1"/>
    <col min="10261" max="10504" width="9.140625" style="1"/>
    <col min="10505" max="10505" width="11.28515625" style="1" customWidth="1"/>
    <col min="10506" max="10506" width="13.28515625" style="1" customWidth="1"/>
    <col min="10507" max="10507" width="10.7109375" style="1" customWidth="1"/>
    <col min="10508" max="10508" width="9.5703125" style="1" customWidth="1"/>
    <col min="10509" max="10510" width="9.140625" style="1"/>
    <col min="10511" max="10511" width="12.7109375" style="1" customWidth="1"/>
    <col min="10512" max="10512" width="10.7109375" style="1" customWidth="1"/>
    <col min="10513" max="10513" width="12.5703125" style="1" customWidth="1"/>
    <col min="10514" max="10514" width="9.140625" style="1"/>
    <col min="10515" max="10515" width="11" style="1" customWidth="1"/>
    <col min="10516" max="10516" width="10.85546875" style="1" customWidth="1"/>
    <col min="10517" max="10760" width="9.140625" style="1"/>
    <col min="10761" max="10761" width="11.28515625" style="1" customWidth="1"/>
    <col min="10762" max="10762" width="13.28515625" style="1" customWidth="1"/>
    <col min="10763" max="10763" width="10.7109375" style="1" customWidth="1"/>
    <col min="10764" max="10764" width="9.5703125" style="1" customWidth="1"/>
    <col min="10765" max="10766" width="9.140625" style="1"/>
    <col min="10767" max="10767" width="12.7109375" style="1" customWidth="1"/>
    <col min="10768" max="10768" width="10.7109375" style="1" customWidth="1"/>
    <col min="10769" max="10769" width="12.5703125" style="1" customWidth="1"/>
    <col min="10770" max="10770" width="9.140625" style="1"/>
    <col min="10771" max="10771" width="11" style="1" customWidth="1"/>
    <col min="10772" max="10772" width="10.85546875" style="1" customWidth="1"/>
    <col min="10773" max="11016" width="9.140625" style="1"/>
    <col min="11017" max="11017" width="11.28515625" style="1" customWidth="1"/>
    <col min="11018" max="11018" width="13.28515625" style="1" customWidth="1"/>
    <col min="11019" max="11019" width="10.7109375" style="1" customWidth="1"/>
    <col min="11020" max="11020" width="9.5703125" style="1" customWidth="1"/>
    <col min="11021" max="11022" width="9.140625" style="1"/>
    <col min="11023" max="11023" width="12.7109375" style="1" customWidth="1"/>
    <col min="11024" max="11024" width="10.7109375" style="1" customWidth="1"/>
    <col min="11025" max="11025" width="12.5703125" style="1" customWidth="1"/>
    <col min="11026" max="11026" width="9.140625" style="1"/>
    <col min="11027" max="11027" width="11" style="1" customWidth="1"/>
    <col min="11028" max="11028" width="10.85546875" style="1" customWidth="1"/>
    <col min="11029" max="11272" width="9.140625" style="1"/>
    <col min="11273" max="11273" width="11.28515625" style="1" customWidth="1"/>
    <col min="11274" max="11274" width="13.28515625" style="1" customWidth="1"/>
    <col min="11275" max="11275" width="10.7109375" style="1" customWidth="1"/>
    <col min="11276" max="11276" width="9.5703125" style="1" customWidth="1"/>
    <col min="11277" max="11278" width="9.140625" style="1"/>
    <col min="11279" max="11279" width="12.7109375" style="1" customWidth="1"/>
    <col min="11280" max="11280" width="10.7109375" style="1" customWidth="1"/>
    <col min="11281" max="11281" width="12.5703125" style="1" customWidth="1"/>
    <col min="11282" max="11282" width="9.140625" style="1"/>
    <col min="11283" max="11283" width="11" style="1" customWidth="1"/>
    <col min="11284" max="11284" width="10.85546875" style="1" customWidth="1"/>
    <col min="11285" max="11528" width="9.140625" style="1"/>
    <col min="11529" max="11529" width="11.28515625" style="1" customWidth="1"/>
    <col min="11530" max="11530" width="13.28515625" style="1" customWidth="1"/>
    <col min="11531" max="11531" width="10.7109375" style="1" customWidth="1"/>
    <col min="11532" max="11532" width="9.5703125" style="1" customWidth="1"/>
    <col min="11533" max="11534" width="9.140625" style="1"/>
    <col min="11535" max="11535" width="12.7109375" style="1" customWidth="1"/>
    <col min="11536" max="11536" width="10.7109375" style="1" customWidth="1"/>
    <col min="11537" max="11537" width="12.5703125" style="1" customWidth="1"/>
    <col min="11538" max="11538" width="9.140625" style="1"/>
    <col min="11539" max="11539" width="11" style="1" customWidth="1"/>
    <col min="11540" max="11540" width="10.85546875" style="1" customWidth="1"/>
    <col min="11541" max="11784" width="9.140625" style="1"/>
    <col min="11785" max="11785" width="11.28515625" style="1" customWidth="1"/>
    <col min="11786" max="11786" width="13.28515625" style="1" customWidth="1"/>
    <col min="11787" max="11787" width="10.7109375" style="1" customWidth="1"/>
    <col min="11788" max="11788" width="9.5703125" style="1" customWidth="1"/>
    <col min="11789" max="11790" width="9.140625" style="1"/>
    <col min="11791" max="11791" width="12.7109375" style="1" customWidth="1"/>
    <col min="11792" max="11792" width="10.7109375" style="1" customWidth="1"/>
    <col min="11793" max="11793" width="12.5703125" style="1" customWidth="1"/>
    <col min="11794" max="11794" width="9.140625" style="1"/>
    <col min="11795" max="11795" width="11" style="1" customWidth="1"/>
    <col min="11796" max="11796" width="10.85546875" style="1" customWidth="1"/>
    <col min="11797" max="12040" width="9.140625" style="1"/>
    <col min="12041" max="12041" width="11.28515625" style="1" customWidth="1"/>
    <col min="12042" max="12042" width="13.28515625" style="1" customWidth="1"/>
    <col min="12043" max="12043" width="10.7109375" style="1" customWidth="1"/>
    <col min="12044" max="12044" width="9.5703125" style="1" customWidth="1"/>
    <col min="12045" max="12046" width="9.140625" style="1"/>
    <col min="12047" max="12047" width="12.7109375" style="1" customWidth="1"/>
    <col min="12048" max="12048" width="10.7109375" style="1" customWidth="1"/>
    <col min="12049" max="12049" width="12.5703125" style="1" customWidth="1"/>
    <col min="12050" max="12050" width="9.140625" style="1"/>
    <col min="12051" max="12051" width="11" style="1" customWidth="1"/>
    <col min="12052" max="12052" width="10.85546875" style="1" customWidth="1"/>
    <col min="12053" max="12296" width="9.140625" style="1"/>
    <col min="12297" max="12297" width="11.28515625" style="1" customWidth="1"/>
    <col min="12298" max="12298" width="13.28515625" style="1" customWidth="1"/>
    <col min="12299" max="12299" width="10.7109375" style="1" customWidth="1"/>
    <col min="12300" max="12300" width="9.5703125" style="1" customWidth="1"/>
    <col min="12301" max="12302" width="9.140625" style="1"/>
    <col min="12303" max="12303" width="12.7109375" style="1" customWidth="1"/>
    <col min="12304" max="12304" width="10.7109375" style="1" customWidth="1"/>
    <col min="12305" max="12305" width="12.5703125" style="1" customWidth="1"/>
    <col min="12306" max="12306" width="9.140625" style="1"/>
    <col min="12307" max="12307" width="11" style="1" customWidth="1"/>
    <col min="12308" max="12308" width="10.85546875" style="1" customWidth="1"/>
    <col min="12309" max="12552" width="9.140625" style="1"/>
    <col min="12553" max="12553" width="11.28515625" style="1" customWidth="1"/>
    <col min="12554" max="12554" width="13.28515625" style="1" customWidth="1"/>
    <col min="12555" max="12555" width="10.7109375" style="1" customWidth="1"/>
    <col min="12556" max="12556" width="9.5703125" style="1" customWidth="1"/>
    <col min="12557" max="12558" width="9.140625" style="1"/>
    <col min="12559" max="12559" width="12.7109375" style="1" customWidth="1"/>
    <col min="12560" max="12560" width="10.7109375" style="1" customWidth="1"/>
    <col min="12561" max="12561" width="12.5703125" style="1" customWidth="1"/>
    <col min="12562" max="12562" width="9.140625" style="1"/>
    <col min="12563" max="12563" width="11" style="1" customWidth="1"/>
    <col min="12564" max="12564" width="10.85546875" style="1" customWidth="1"/>
    <col min="12565" max="12808" width="9.140625" style="1"/>
    <col min="12809" max="12809" width="11.28515625" style="1" customWidth="1"/>
    <col min="12810" max="12810" width="13.28515625" style="1" customWidth="1"/>
    <col min="12811" max="12811" width="10.7109375" style="1" customWidth="1"/>
    <col min="12812" max="12812" width="9.5703125" style="1" customWidth="1"/>
    <col min="12813" max="12814" width="9.140625" style="1"/>
    <col min="12815" max="12815" width="12.7109375" style="1" customWidth="1"/>
    <col min="12816" max="12816" width="10.7109375" style="1" customWidth="1"/>
    <col min="12817" max="12817" width="12.5703125" style="1" customWidth="1"/>
    <col min="12818" max="12818" width="9.140625" style="1"/>
    <col min="12819" max="12819" width="11" style="1" customWidth="1"/>
    <col min="12820" max="12820" width="10.85546875" style="1" customWidth="1"/>
    <col min="12821" max="13064" width="9.140625" style="1"/>
    <col min="13065" max="13065" width="11.28515625" style="1" customWidth="1"/>
    <col min="13066" max="13066" width="13.28515625" style="1" customWidth="1"/>
    <col min="13067" max="13067" width="10.7109375" style="1" customWidth="1"/>
    <col min="13068" max="13068" width="9.5703125" style="1" customWidth="1"/>
    <col min="13069" max="13070" width="9.140625" style="1"/>
    <col min="13071" max="13071" width="12.7109375" style="1" customWidth="1"/>
    <col min="13072" max="13072" width="10.7109375" style="1" customWidth="1"/>
    <col min="13073" max="13073" width="12.5703125" style="1" customWidth="1"/>
    <col min="13074" max="13074" width="9.140625" style="1"/>
    <col min="13075" max="13075" width="11" style="1" customWidth="1"/>
    <col min="13076" max="13076" width="10.85546875" style="1" customWidth="1"/>
    <col min="13077" max="13320" width="9.140625" style="1"/>
    <col min="13321" max="13321" width="11.28515625" style="1" customWidth="1"/>
    <col min="13322" max="13322" width="13.28515625" style="1" customWidth="1"/>
    <col min="13323" max="13323" width="10.7109375" style="1" customWidth="1"/>
    <col min="13324" max="13324" width="9.5703125" style="1" customWidth="1"/>
    <col min="13325" max="13326" width="9.140625" style="1"/>
    <col min="13327" max="13327" width="12.7109375" style="1" customWidth="1"/>
    <col min="13328" max="13328" width="10.7109375" style="1" customWidth="1"/>
    <col min="13329" max="13329" width="12.5703125" style="1" customWidth="1"/>
    <col min="13330" max="13330" width="9.140625" style="1"/>
    <col min="13331" max="13331" width="11" style="1" customWidth="1"/>
    <col min="13332" max="13332" width="10.85546875" style="1" customWidth="1"/>
    <col min="13333" max="13576" width="9.140625" style="1"/>
    <col min="13577" max="13577" width="11.28515625" style="1" customWidth="1"/>
    <col min="13578" max="13578" width="13.28515625" style="1" customWidth="1"/>
    <col min="13579" max="13579" width="10.7109375" style="1" customWidth="1"/>
    <col min="13580" max="13580" width="9.5703125" style="1" customWidth="1"/>
    <col min="13581" max="13582" width="9.140625" style="1"/>
    <col min="13583" max="13583" width="12.7109375" style="1" customWidth="1"/>
    <col min="13584" max="13584" width="10.7109375" style="1" customWidth="1"/>
    <col min="13585" max="13585" width="12.5703125" style="1" customWidth="1"/>
    <col min="13586" max="13586" width="9.140625" style="1"/>
    <col min="13587" max="13587" width="11" style="1" customWidth="1"/>
    <col min="13588" max="13588" width="10.85546875" style="1" customWidth="1"/>
    <col min="13589" max="13832" width="9.140625" style="1"/>
    <col min="13833" max="13833" width="11.28515625" style="1" customWidth="1"/>
    <col min="13834" max="13834" width="13.28515625" style="1" customWidth="1"/>
    <col min="13835" max="13835" width="10.7109375" style="1" customWidth="1"/>
    <col min="13836" max="13836" width="9.5703125" style="1" customWidth="1"/>
    <col min="13837" max="13838" width="9.140625" style="1"/>
    <col min="13839" max="13839" width="12.7109375" style="1" customWidth="1"/>
    <col min="13840" max="13840" width="10.7109375" style="1" customWidth="1"/>
    <col min="13841" max="13841" width="12.5703125" style="1" customWidth="1"/>
    <col min="13842" max="13842" width="9.140625" style="1"/>
    <col min="13843" max="13843" width="11" style="1" customWidth="1"/>
    <col min="13844" max="13844" width="10.85546875" style="1" customWidth="1"/>
    <col min="13845" max="14088" width="9.140625" style="1"/>
    <col min="14089" max="14089" width="11.28515625" style="1" customWidth="1"/>
    <col min="14090" max="14090" width="13.28515625" style="1" customWidth="1"/>
    <col min="14091" max="14091" width="10.7109375" style="1" customWidth="1"/>
    <col min="14092" max="14092" width="9.5703125" style="1" customWidth="1"/>
    <col min="14093" max="14094" width="9.140625" style="1"/>
    <col min="14095" max="14095" width="12.7109375" style="1" customWidth="1"/>
    <col min="14096" max="14096" width="10.7109375" style="1" customWidth="1"/>
    <col min="14097" max="14097" width="12.5703125" style="1" customWidth="1"/>
    <col min="14098" max="14098" width="9.140625" style="1"/>
    <col min="14099" max="14099" width="11" style="1" customWidth="1"/>
    <col min="14100" max="14100" width="10.85546875" style="1" customWidth="1"/>
    <col min="14101" max="14344" width="9.140625" style="1"/>
    <col min="14345" max="14345" width="11.28515625" style="1" customWidth="1"/>
    <col min="14346" max="14346" width="13.28515625" style="1" customWidth="1"/>
    <col min="14347" max="14347" width="10.7109375" style="1" customWidth="1"/>
    <col min="14348" max="14348" width="9.5703125" style="1" customWidth="1"/>
    <col min="14349" max="14350" width="9.140625" style="1"/>
    <col min="14351" max="14351" width="12.7109375" style="1" customWidth="1"/>
    <col min="14352" max="14352" width="10.7109375" style="1" customWidth="1"/>
    <col min="14353" max="14353" width="12.5703125" style="1" customWidth="1"/>
    <col min="14354" max="14354" width="9.140625" style="1"/>
    <col min="14355" max="14355" width="11" style="1" customWidth="1"/>
    <col min="14356" max="14356" width="10.85546875" style="1" customWidth="1"/>
    <col min="14357" max="14600" width="9.140625" style="1"/>
    <col min="14601" max="14601" width="11.28515625" style="1" customWidth="1"/>
    <col min="14602" max="14602" width="13.28515625" style="1" customWidth="1"/>
    <col min="14603" max="14603" width="10.7109375" style="1" customWidth="1"/>
    <col min="14604" max="14604" width="9.5703125" style="1" customWidth="1"/>
    <col min="14605" max="14606" width="9.140625" style="1"/>
    <col min="14607" max="14607" width="12.7109375" style="1" customWidth="1"/>
    <col min="14608" max="14608" width="10.7109375" style="1" customWidth="1"/>
    <col min="14609" max="14609" width="12.5703125" style="1" customWidth="1"/>
    <col min="14610" max="14610" width="9.140625" style="1"/>
    <col min="14611" max="14611" width="11" style="1" customWidth="1"/>
    <col min="14612" max="14612" width="10.85546875" style="1" customWidth="1"/>
    <col min="14613" max="14856" width="9.140625" style="1"/>
    <col min="14857" max="14857" width="11.28515625" style="1" customWidth="1"/>
    <col min="14858" max="14858" width="13.28515625" style="1" customWidth="1"/>
    <col min="14859" max="14859" width="10.7109375" style="1" customWidth="1"/>
    <col min="14860" max="14860" width="9.5703125" style="1" customWidth="1"/>
    <col min="14861" max="14862" width="9.140625" style="1"/>
    <col min="14863" max="14863" width="12.7109375" style="1" customWidth="1"/>
    <col min="14864" max="14864" width="10.7109375" style="1" customWidth="1"/>
    <col min="14865" max="14865" width="12.5703125" style="1" customWidth="1"/>
    <col min="14866" max="14866" width="9.140625" style="1"/>
    <col min="14867" max="14867" width="11" style="1" customWidth="1"/>
    <col min="14868" max="14868" width="10.85546875" style="1" customWidth="1"/>
    <col min="14869" max="15112" width="9.140625" style="1"/>
    <col min="15113" max="15113" width="11.28515625" style="1" customWidth="1"/>
    <col min="15114" max="15114" width="13.28515625" style="1" customWidth="1"/>
    <col min="15115" max="15115" width="10.7109375" style="1" customWidth="1"/>
    <col min="15116" max="15116" width="9.5703125" style="1" customWidth="1"/>
    <col min="15117" max="15118" width="9.140625" style="1"/>
    <col min="15119" max="15119" width="12.7109375" style="1" customWidth="1"/>
    <col min="15120" max="15120" width="10.7109375" style="1" customWidth="1"/>
    <col min="15121" max="15121" width="12.5703125" style="1" customWidth="1"/>
    <col min="15122" max="15122" width="9.140625" style="1"/>
    <col min="15123" max="15123" width="11" style="1" customWidth="1"/>
    <col min="15124" max="15124" width="10.85546875" style="1" customWidth="1"/>
    <col min="15125" max="15368" width="9.140625" style="1"/>
    <col min="15369" max="15369" width="11.28515625" style="1" customWidth="1"/>
    <col min="15370" max="15370" width="13.28515625" style="1" customWidth="1"/>
    <col min="15371" max="15371" width="10.7109375" style="1" customWidth="1"/>
    <col min="15372" max="15372" width="9.5703125" style="1" customWidth="1"/>
    <col min="15373" max="15374" width="9.140625" style="1"/>
    <col min="15375" max="15375" width="12.7109375" style="1" customWidth="1"/>
    <col min="15376" max="15376" width="10.7109375" style="1" customWidth="1"/>
    <col min="15377" max="15377" width="12.5703125" style="1" customWidth="1"/>
    <col min="15378" max="15378" width="9.140625" style="1"/>
    <col min="15379" max="15379" width="11" style="1" customWidth="1"/>
    <col min="15380" max="15380" width="10.85546875" style="1" customWidth="1"/>
    <col min="15381" max="15624" width="9.140625" style="1"/>
    <col min="15625" max="15625" width="11.28515625" style="1" customWidth="1"/>
    <col min="15626" max="15626" width="13.28515625" style="1" customWidth="1"/>
    <col min="15627" max="15627" width="10.7109375" style="1" customWidth="1"/>
    <col min="15628" max="15628" width="9.5703125" style="1" customWidth="1"/>
    <col min="15629" max="15630" width="9.140625" style="1"/>
    <col min="15631" max="15631" width="12.7109375" style="1" customWidth="1"/>
    <col min="15632" max="15632" width="10.7109375" style="1" customWidth="1"/>
    <col min="15633" max="15633" width="12.5703125" style="1" customWidth="1"/>
    <col min="15634" max="15634" width="9.140625" style="1"/>
    <col min="15635" max="15635" width="11" style="1" customWidth="1"/>
    <col min="15636" max="15636" width="10.85546875" style="1" customWidth="1"/>
    <col min="15637" max="15880" width="9.140625" style="1"/>
    <col min="15881" max="15881" width="11.28515625" style="1" customWidth="1"/>
    <col min="15882" max="15882" width="13.28515625" style="1" customWidth="1"/>
    <col min="15883" max="15883" width="10.7109375" style="1" customWidth="1"/>
    <col min="15884" max="15884" width="9.5703125" style="1" customWidth="1"/>
    <col min="15885" max="15886" width="9.140625" style="1"/>
    <col min="15887" max="15887" width="12.7109375" style="1" customWidth="1"/>
    <col min="15888" max="15888" width="10.7109375" style="1" customWidth="1"/>
    <col min="15889" max="15889" width="12.5703125" style="1" customWidth="1"/>
    <col min="15890" max="15890" width="9.140625" style="1"/>
    <col min="15891" max="15891" width="11" style="1" customWidth="1"/>
    <col min="15892" max="15892" width="10.85546875" style="1" customWidth="1"/>
    <col min="15893" max="16136" width="9.140625" style="1"/>
    <col min="16137" max="16137" width="11.28515625" style="1" customWidth="1"/>
    <col min="16138" max="16138" width="13.28515625" style="1" customWidth="1"/>
    <col min="16139" max="16139" width="10.7109375" style="1" customWidth="1"/>
    <col min="16140" max="16140" width="9.5703125" style="1" customWidth="1"/>
    <col min="16141" max="16142" width="9.140625" style="1"/>
    <col min="16143" max="16143" width="12.7109375" style="1" customWidth="1"/>
    <col min="16144" max="16144" width="10.7109375" style="1" customWidth="1"/>
    <col min="16145" max="16145" width="12.5703125" style="1" customWidth="1"/>
    <col min="16146" max="16146" width="9.140625" style="1"/>
    <col min="16147" max="16147" width="11" style="1" customWidth="1"/>
    <col min="16148" max="16148" width="10.85546875" style="1" customWidth="1"/>
    <col min="16149" max="16384" width="9.140625" style="1"/>
  </cols>
  <sheetData>
    <row r="5" spans="1:27" x14ac:dyDescent="0.25">
      <c r="C5" s="82" t="s">
        <v>0</v>
      </c>
    </row>
    <row r="7" spans="1:27" ht="147" customHeight="1" x14ac:dyDescent="0.25">
      <c r="A7" s="161" t="s">
        <v>1</v>
      </c>
      <c r="B7" s="161" t="s">
        <v>2</v>
      </c>
      <c r="C7" s="146" t="s">
        <v>3</v>
      </c>
      <c r="D7" s="146" t="s">
        <v>4</v>
      </c>
      <c r="E7" s="146" t="s">
        <v>5</v>
      </c>
      <c r="F7" s="146" t="s">
        <v>6</v>
      </c>
      <c r="G7" s="146" t="s">
        <v>7</v>
      </c>
      <c r="H7" s="146" t="s">
        <v>8</v>
      </c>
      <c r="I7" s="146" t="s">
        <v>9</v>
      </c>
      <c r="J7" s="97" t="s">
        <v>10</v>
      </c>
      <c r="K7" s="146" t="s">
        <v>11</v>
      </c>
      <c r="L7" s="97" t="s">
        <v>12</v>
      </c>
      <c r="M7" s="150" t="s">
        <v>13</v>
      </c>
      <c r="N7" s="151"/>
      <c r="O7" s="152"/>
      <c r="P7" s="146" t="s">
        <v>14</v>
      </c>
      <c r="Q7" s="153" t="s">
        <v>15</v>
      </c>
      <c r="R7" s="154"/>
      <c r="S7" s="154"/>
      <c r="T7" s="155"/>
      <c r="U7" s="148" t="s">
        <v>16</v>
      </c>
      <c r="V7" s="159" t="s">
        <v>17</v>
      </c>
      <c r="W7" s="156" t="s">
        <v>18</v>
      </c>
      <c r="X7" s="157"/>
      <c r="Y7" s="157"/>
      <c r="Z7" s="158"/>
      <c r="AA7" s="144" t="s">
        <v>19</v>
      </c>
    </row>
    <row r="8" spans="1:27" ht="66.599999999999994" customHeight="1" x14ac:dyDescent="0.25">
      <c r="A8" s="162"/>
      <c r="B8" s="162"/>
      <c r="C8" s="147"/>
      <c r="D8" s="147"/>
      <c r="E8" s="147"/>
      <c r="F8" s="147"/>
      <c r="G8" s="147"/>
      <c r="H8" s="147"/>
      <c r="I8" s="147"/>
      <c r="J8" s="97">
        <v>10.4</v>
      </c>
      <c r="K8" s="147"/>
      <c r="L8" s="97">
        <v>0.7</v>
      </c>
      <c r="M8" s="98">
        <v>0.8</v>
      </c>
      <c r="N8" s="99">
        <v>0.9</v>
      </c>
      <c r="O8" s="100">
        <v>1</v>
      </c>
      <c r="P8" s="147"/>
      <c r="Q8" s="101">
        <v>0.1</v>
      </c>
      <c r="R8" s="104">
        <v>0.2</v>
      </c>
      <c r="S8" s="104">
        <v>0.3</v>
      </c>
      <c r="T8" s="104">
        <v>0.1</v>
      </c>
      <c r="U8" s="149"/>
      <c r="V8" s="160"/>
      <c r="W8" s="105" t="s">
        <v>20</v>
      </c>
      <c r="X8" s="105" t="s">
        <v>21</v>
      </c>
      <c r="Y8" s="105" t="s">
        <v>22</v>
      </c>
      <c r="Z8" s="105" t="s">
        <v>23</v>
      </c>
      <c r="AA8" s="145"/>
    </row>
    <row r="9" spans="1:27" x14ac:dyDescent="0.25">
      <c r="A9" s="109"/>
      <c r="B9" s="109"/>
      <c r="C9" s="83">
        <v>0</v>
      </c>
      <c r="D9" s="83">
        <v>1</v>
      </c>
      <c r="E9" s="83">
        <v>2</v>
      </c>
      <c r="F9" s="83" t="s">
        <v>24</v>
      </c>
      <c r="G9" s="83" t="s">
        <v>25</v>
      </c>
      <c r="H9" s="83" t="s">
        <v>26</v>
      </c>
      <c r="I9" s="83" t="s">
        <v>27</v>
      </c>
      <c r="J9" s="83" t="s">
        <v>28</v>
      </c>
      <c r="K9" s="83" t="s">
        <v>29</v>
      </c>
      <c r="L9" s="83" t="s">
        <v>30</v>
      </c>
      <c r="M9" s="83" t="s">
        <v>31</v>
      </c>
      <c r="N9" s="83" t="s">
        <v>32</v>
      </c>
      <c r="O9" s="83" t="s">
        <v>32</v>
      </c>
      <c r="P9" s="83">
        <v>10</v>
      </c>
      <c r="Q9" s="102" t="s">
        <v>33</v>
      </c>
      <c r="R9" s="102" t="s">
        <v>34</v>
      </c>
      <c r="S9" s="102" t="s">
        <v>35</v>
      </c>
      <c r="T9" s="102" t="s">
        <v>36</v>
      </c>
      <c r="U9" s="102" t="s">
        <v>37</v>
      </c>
      <c r="V9" s="102" t="s">
        <v>38</v>
      </c>
      <c r="W9" s="83">
        <v>13</v>
      </c>
      <c r="X9" s="102" t="s">
        <v>39</v>
      </c>
      <c r="Y9" s="102" t="s">
        <v>40</v>
      </c>
      <c r="Z9" s="102" t="s">
        <v>41</v>
      </c>
      <c r="AA9" s="83">
        <v>14</v>
      </c>
    </row>
    <row r="10" spans="1:27" x14ac:dyDescent="0.25">
      <c r="A10" s="85">
        <v>1</v>
      </c>
      <c r="B10" s="109"/>
      <c r="C10" s="85">
        <v>1</v>
      </c>
      <c r="D10" s="85">
        <v>61.69</v>
      </c>
      <c r="E10" s="85">
        <f>E20</f>
        <v>94343.554375000007</v>
      </c>
      <c r="F10" s="86">
        <f t="shared" ref="F10:F12" si="0">E10/60</f>
        <v>1572.3925729166699</v>
      </c>
      <c r="G10" s="86">
        <f t="shared" ref="G10:G12" si="1">E10*1.5%</f>
        <v>1415.153315625</v>
      </c>
      <c r="H10" s="85">
        <f t="shared" ref="H10:H12" si="2">E10*0%</f>
        <v>0</v>
      </c>
      <c r="I10" s="86">
        <f t="shared" ref="I10:I12" si="3">F10+G10+H10</f>
        <v>2987.5458885416701</v>
      </c>
      <c r="J10" s="86">
        <f t="shared" ref="J10:J12" si="4">I10*(100%+10.4%)</f>
        <v>3298.2506609500001</v>
      </c>
      <c r="K10" s="86">
        <f t="shared" ref="K10:K12" si="5">J10/12</f>
        <v>274.854221745833</v>
      </c>
      <c r="L10" s="86">
        <f t="shared" ref="L10:L12" si="6">K10*0.7</f>
        <v>192.397955222083</v>
      </c>
      <c r="M10" s="86">
        <f>L10*M8</f>
        <v>153.918364177667</v>
      </c>
      <c r="N10" s="86">
        <f>L10*N8</f>
        <v>173.158159699875</v>
      </c>
      <c r="O10" s="86">
        <f>L10*O8</f>
        <v>192.397955222083</v>
      </c>
      <c r="P10" s="86"/>
      <c r="Q10" s="86"/>
      <c r="R10" s="86"/>
      <c r="S10" s="86"/>
      <c r="T10" s="106"/>
      <c r="U10" s="106"/>
      <c r="V10" s="107">
        <v>53</v>
      </c>
      <c r="W10" s="108">
        <f>K10</f>
        <v>274.854221745833</v>
      </c>
      <c r="X10" s="108">
        <f>M10</f>
        <v>153.918364177667</v>
      </c>
      <c r="Y10" s="108">
        <f t="shared" ref="Y10:Y12" si="7">F10/12</f>
        <v>131.03271440972199</v>
      </c>
      <c r="Z10" s="113">
        <f>(Y10/W10)*100</f>
        <v>47.673531655224998</v>
      </c>
      <c r="AA10" s="114">
        <f>X10*Z10%</f>
        <v>73.378320069444399</v>
      </c>
    </row>
    <row r="11" spans="1:27" x14ac:dyDescent="0.25">
      <c r="A11" s="85">
        <v>2</v>
      </c>
      <c r="B11" s="109"/>
      <c r="C11" s="85">
        <v>2</v>
      </c>
      <c r="D11" s="85"/>
      <c r="E11" s="85">
        <v>1509496.87</v>
      </c>
      <c r="F11" s="86">
        <f t="shared" si="0"/>
        <v>25158.2811666667</v>
      </c>
      <c r="G11" s="86">
        <f t="shared" si="1"/>
        <v>22642.45305</v>
      </c>
      <c r="H11" s="85">
        <f t="shared" si="2"/>
        <v>0</v>
      </c>
      <c r="I11" s="86">
        <f t="shared" si="3"/>
        <v>47800.7342166667</v>
      </c>
      <c r="J11" s="86">
        <f t="shared" si="4"/>
        <v>52772.010575200002</v>
      </c>
      <c r="K11" s="86">
        <f t="shared" si="5"/>
        <v>4397.6675479333298</v>
      </c>
      <c r="L11" s="86">
        <f t="shared" si="6"/>
        <v>3078.3672835533298</v>
      </c>
      <c r="M11" s="86">
        <f>L11*M8</f>
        <v>2462.6938268426702</v>
      </c>
      <c r="N11" s="86">
        <f>L11*N8</f>
        <v>2770.530555198</v>
      </c>
      <c r="O11" s="86">
        <f>L11*O8</f>
        <v>3078.3672835533298</v>
      </c>
      <c r="P11" s="86"/>
      <c r="Q11" s="86"/>
      <c r="R11" s="86"/>
      <c r="S11" s="86"/>
      <c r="T11" s="106"/>
      <c r="U11" s="106"/>
      <c r="V11" s="107">
        <v>73</v>
      </c>
      <c r="W11" s="108">
        <f t="shared" ref="W11:W12" si="8">K11</f>
        <v>4397.6675479333298</v>
      </c>
      <c r="X11" s="108">
        <f t="shared" ref="X11:X12" si="9">M11</f>
        <v>2462.6938268426702</v>
      </c>
      <c r="Y11" s="108">
        <f t="shared" si="7"/>
        <v>2096.52343055556</v>
      </c>
      <c r="Z11" s="113">
        <f t="shared" ref="Z11:Z12" si="10">(Y11/W11)*100</f>
        <v>47.673531655224998</v>
      </c>
      <c r="AA11" s="113">
        <f>X11*Z11%</f>
        <v>1174.0531211111099</v>
      </c>
    </row>
    <row r="12" spans="1:27" x14ac:dyDescent="0.25">
      <c r="A12" s="85">
        <v>3</v>
      </c>
      <c r="B12" s="109"/>
      <c r="C12" s="85"/>
      <c r="D12" s="85"/>
      <c r="E12" s="85">
        <v>1509496.87</v>
      </c>
      <c r="F12" s="86">
        <f t="shared" si="0"/>
        <v>25158.2811666667</v>
      </c>
      <c r="G12" s="86">
        <f t="shared" si="1"/>
        <v>22642.45305</v>
      </c>
      <c r="H12" s="85">
        <f t="shared" si="2"/>
        <v>0</v>
      </c>
      <c r="I12" s="86">
        <f t="shared" si="3"/>
        <v>47800.7342166667</v>
      </c>
      <c r="J12" s="86">
        <f t="shared" si="4"/>
        <v>52772.010575200002</v>
      </c>
      <c r="K12" s="86">
        <f t="shared" si="5"/>
        <v>4397.6675479333298</v>
      </c>
      <c r="L12" s="86">
        <f t="shared" si="6"/>
        <v>3078.3672835533298</v>
      </c>
      <c r="M12" s="86">
        <f>L12*M8</f>
        <v>2462.6938268426702</v>
      </c>
      <c r="N12" s="86">
        <f>L12*N8</f>
        <v>2770.530555198</v>
      </c>
      <c r="O12" s="86">
        <f>L12*O8</f>
        <v>3078.3672835533298</v>
      </c>
      <c r="P12" s="86"/>
      <c r="Q12" s="86"/>
      <c r="R12" s="86"/>
      <c r="S12" s="86"/>
      <c r="T12" s="106"/>
      <c r="U12" s="106"/>
      <c r="V12" s="107"/>
      <c r="W12" s="108">
        <f t="shared" si="8"/>
        <v>4397.6675479333298</v>
      </c>
      <c r="X12" s="108">
        <f t="shared" si="9"/>
        <v>2462.6938268426702</v>
      </c>
      <c r="Y12" s="108">
        <f t="shared" si="7"/>
        <v>2096.52343055556</v>
      </c>
      <c r="Z12" s="113">
        <f t="shared" si="10"/>
        <v>47.673531655224998</v>
      </c>
      <c r="AA12" s="113">
        <f t="shared" ref="AA12" si="11">X12*Z12%</f>
        <v>1174.0531211111099</v>
      </c>
    </row>
    <row r="13" spans="1:27" x14ac:dyDescent="0.25">
      <c r="A13" s="87">
        <v>4</v>
      </c>
      <c r="B13" s="109"/>
      <c r="C13" s="87"/>
      <c r="D13" s="85"/>
      <c r="E13" s="85"/>
      <c r="F13" s="86"/>
      <c r="G13" s="86"/>
      <c r="H13" s="85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106"/>
      <c r="U13" s="106"/>
      <c r="V13" s="109"/>
      <c r="W13" s="109"/>
      <c r="X13" s="109"/>
      <c r="Y13" s="109"/>
      <c r="Z13" s="109"/>
      <c r="AA13" s="109"/>
    </row>
    <row r="14" spans="1:27" x14ac:dyDescent="0.25">
      <c r="A14" s="87">
        <v>5</v>
      </c>
      <c r="B14" s="109"/>
      <c r="C14" s="87"/>
      <c r="D14" s="85"/>
      <c r="E14" s="85"/>
      <c r="F14" s="86"/>
      <c r="G14" s="86"/>
      <c r="H14" s="85"/>
      <c r="I14" s="86"/>
      <c r="J14" s="86"/>
      <c r="K14" s="86">
        <v>274.85000000000002</v>
      </c>
      <c r="L14" s="86"/>
      <c r="M14" s="86"/>
      <c r="N14" s="86"/>
      <c r="O14" s="86"/>
      <c r="P14" s="86"/>
      <c r="Q14" s="86"/>
      <c r="R14" s="86"/>
      <c r="S14" s="86"/>
      <c r="T14" s="106"/>
      <c r="U14" s="106"/>
      <c r="V14" s="109"/>
      <c r="W14" s="108"/>
      <c r="X14" s="108"/>
      <c r="Y14" s="108"/>
      <c r="Z14" s="113"/>
      <c r="AA14" s="114"/>
    </row>
    <row r="15" spans="1:27" x14ac:dyDescent="0.25">
      <c r="A15" s="87">
        <v>6</v>
      </c>
      <c r="B15" s="109"/>
      <c r="C15" s="87"/>
      <c r="D15" s="85"/>
      <c r="E15" s="86"/>
      <c r="F15" s="86"/>
      <c r="G15" s="86"/>
      <c r="H15" s="85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106"/>
      <c r="U15" s="106"/>
      <c r="V15" s="109"/>
      <c r="W15" s="109"/>
      <c r="X15" s="109"/>
      <c r="Y15" s="109"/>
      <c r="Z15" s="113"/>
      <c r="AA15" s="114"/>
    </row>
    <row r="16" spans="1:27" x14ac:dyDescent="0.25">
      <c r="A16" s="85">
        <v>7</v>
      </c>
      <c r="B16" s="109"/>
      <c r="C16" s="85"/>
      <c r="D16" s="85"/>
      <c r="E16" s="85"/>
      <c r="F16" s="85">
        <v>1699.28</v>
      </c>
      <c r="G16" s="85"/>
      <c r="H16" s="85"/>
      <c r="I16" s="85"/>
      <c r="J16" s="85"/>
      <c r="K16" s="85"/>
      <c r="L16" s="85"/>
      <c r="M16" s="86"/>
      <c r="N16" s="85"/>
      <c r="O16" s="86"/>
      <c r="P16" s="86"/>
      <c r="Q16" s="86"/>
      <c r="R16" s="86"/>
      <c r="S16" s="86"/>
      <c r="T16" s="106"/>
      <c r="U16" s="106"/>
      <c r="V16" s="109"/>
      <c r="W16" s="109"/>
      <c r="X16" s="109"/>
      <c r="Y16" s="103"/>
      <c r="Z16" s="113"/>
      <c r="AA16" s="114"/>
    </row>
    <row r="17" spans="1:27" x14ac:dyDescent="0.25"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6"/>
      <c r="N17" s="85"/>
      <c r="O17" s="86"/>
      <c r="P17" s="86"/>
      <c r="Q17" s="86"/>
      <c r="R17" s="86"/>
      <c r="S17" s="86"/>
      <c r="T17" s="106"/>
      <c r="U17" s="106"/>
      <c r="V17" s="109"/>
      <c r="W17" s="109"/>
      <c r="X17" s="109"/>
      <c r="Y17" s="109"/>
      <c r="Z17" s="109"/>
      <c r="AA17" s="109"/>
    </row>
    <row r="18" spans="1:27" x14ac:dyDescent="0.25">
      <c r="C18" s="85"/>
      <c r="D18" s="85"/>
      <c r="E18" s="85"/>
      <c r="F18" s="86"/>
      <c r="G18" s="86"/>
      <c r="H18" s="85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106"/>
      <c r="U18" s="106"/>
      <c r="V18" s="96"/>
      <c r="W18" s="109"/>
      <c r="X18" s="109"/>
      <c r="Y18" s="96"/>
      <c r="Z18" s="109"/>
      <c r="AA18" s="109"/>
    </row>
    <row r="20" spans="1:27" x14ac:dyDescent="0.25">
      <c r="E20" s="1">
        <f>E12/16</f>
        <v>94343.554375000007</v>
      </c>
    </row>
    <row r="21" spans="1:27" x14ac:dyDescent="0.25">
      <c r="C21" s="82" t="s">
        <v>42</v>
      </c>
    </row>
    <row r="23" spans="1:27" ht="175.15" customHeight="1" x14ac:dyDescent="0.25">
      <c r="A23" s="161" t="s">
        <v>1</v>
      </c>
      <c r="B23" s="161" t="s">
        <v>2</v>
      </c>
      <c r="C23" s="146" t="s">
        <v>3</v>
      </c>
      <c r="D23" s="146" t="s">
        <v>4</v>
      </c>
      <c r="E23" s="146" t="s">
        <v>5</v>
      </c>
      <c r="F23" s="146" t="s">
        <v>6</v>
      </c>
      <c r="G23" s="146" t="s">
        <v>7</v>
      </c>
      <c r="H23" s="146" t="s">
        <v>8</v>
      </c>
      <c r="I23" s="146" t="s">
        <v>9</v>
      </c>
      <c r="J23" s="97" t="s">
        <v>10</v>
      </c>
      <c r="K23" s="146" t="s">
        <v>11</v>
      </c>
      <c r="L23" s="97" t="s">
        <v>12</v>
      </c>
      <c r="M23" s="150" t="s">
        <v>13</v>
      </c>
      <c r="N23" s="151"/>
      <c r="O23" s="152"/>
      <c r="P23" s="146" t="s">
        <v>14</v>
      </c>
      <c r="Q23" s="153" t="s">
        <v>15</v>
      </c>
      <c r="R23" s="154"/>
      <c r="S23" s="154"/>
      <c r="T23" s="155"/>
      <c r="U23" s="148" t="s">
        <v>16</v>
      </c>
      <c r="V23" s="159" t="s">
        <v>17</v>
      </c>
      <c r="W23" s="156" t="s">
        <v>18</v>
      </c>
      <c r="X23" s="157"/>
      <c r="Y23" s="157"/>
      <c r="Z23" s="158"/>
      <c r="AA23" s="144" t="s">
        <v>19</v>
      </c>
    </row>
    <row r="24" spans="1:27" ht="51" x14ac:dyDescent="0.25">
      <c r="A24" s="162"/>
      <c r="B24" s="162"/>
      <c r="C24" s="147"/>
      <c r="D24" s="147"/>
      <c r="E24" s="147"/>
      <c r="F24" s="147"/>
      <c r="G24" s="147"/>
      <c r="H24" s="147"/>
      <c r="I24" s="147"/>
      <c r="J24" s="97">
        <v>10.4</v>
      </c>
      <c r="K24" s="147"/>
      <c r="L24" s="97">
        <v>0.7</v>
      </c>
      <c r="M24" s="98">
        <v>0.8</v>
      </c>
      <c r="N24" s="99">
        <v>0.9</v>
      </c>
      <c r="O24" s="100">
        <v>1</v>
      </c>
      <c r="P24" s="147"/>
      <c r="Q24" s="101">
        <v>0.1</v>
      </c>
      <c r="R24" s="104">
        <v>0.2</v>
      </c>
      <c r="S24" s="104">
        <v>0.3</v>
      </c>
      <c r="T24" s="104">
        <v>0.1</v>
      </c>
      <c r="U24" s="149"/>
      <c r="V24" s="160"/>
      <c r="W24" s="105" t="s">
        <v>20</v>
      </c>
      <c r="X24" s="105" t="s">
        <v>21</v>
      </c>
      <c r="Y24" s="105" t="s">
        <v>22</v>
      </c>
      <c r="Z24" s="105" t="s">
        <v>23</v>
      </c>
      <c r="AA24" s="145"/>
    </row>
    <row r="25" spans="1:27" x14ac:dyDescent="0.25">
      <c r="A25" s="109"/>
      <c r="B25" s="109"/>
      <c r="C25" s="83">
        <v>0</v>
      </c>
      <c r="D25" s="83">
        <v>1</v>
      </c>
      <c r="E25" s="83">
        <v>2</v>
      </c>
      <c r="F25" s="83" t="s">
        <v>24</v>
      </c>
      <c r="G25" s="83" t="s">
        <v>25</v>
      </c>
      <c r="H25" s="83" t="s">
        <v>26</v>
      </c>
      <c r="I25" s="83" t="s">
        <v>27</v>
      </c>
      <c r="J25" s="83" t="s">
        <v>28</v>
      </c>
      <c r="K25" s="83" t="s">
        <v>29</v>
      </c>
      <c r="L25" s="83" t="s">
        <v>30</v>
      </c>
      <c r="M25" s="83" t="s">
        <v>31</v>
      </c>
      <c r="N25" s="83" t="s">
        <v>32</v>
      </c>
      <c r="O25" s="83" t="s">
        <v>32</v>
      </c>
      <c r="P25" s="83">
        <v>10</v>
      </c>
      <c r="Q25" s="102" t="s">
        <v>33</v>
      </c>
      <c r="R25" s="102" t="s">
        <v>34</v>
      </c>
      <c r="S25" s="102" t="s">
        <v>35</v>
      </c>
      <c r="T25" s="102" t="s">
        <v>36</v>
      </c>
      <c r="U25" s="102" t="s">
        <v>37</v>
      </c>
      <c r="V25" s="102" t="s">
        <v>38</v>
      </c>
      <c r="W25" s="83">
        <v>13</v>
      </c>
      <c r="X25" s="102" t="s">
        <v>39</v>
      </c>
      <c r="Y25" s="102" t="s">
        <v>40</v>
      </c>
      <c r="Z25" s="102" t="s">
        <v>41</v>
      </c>
      <c r="AA25" s="83">
        <v>14</v>
      </c>
    </row>
    <row r="26" spans="1:27" x14ac:dyDescent="0.25">
      <c r="A26" s="85">
        <v>1</v>
      </c>
      <c r="B26" s="109"/>
      <c r="C26" s="91"/>
      <c r="D26" s="91"/>
      <c r="E26" s="91">
        <v>1509496.87</v>
      </c>
      <c r="F26" s="92">
        <f t="shared" ref="F26:F30" si="12">E26/60</f>
        <v>25158.2811666667</v>
      </c>
      <c r="G26" s="92">
        <f t="shared" ref="G26:G30" si="13">E26*1.5%</f>
        <v>22642.45305</v>
      </c>
      <c r="H26" s="92">
        <f t="shared" ref="H26:H30" si="14">E26*0.5%</f>
        <v>7547.4843499999997</v>
      </c>
      <c r="I26" s="92">
        <f t="shared" ref="I26:I30" si="15">F26+G26+H26</f>
        <v>55348.218566666699</v>
      </c>
      <c r="J26" s="92">
        <f t="shared" ref="J26:J29" si="16">I26*(100%+10.4%)</f>
        <v>61104.433297600001</v>
      </c>
      <c r="K26" s="92">
        <f t="shared" ref="K26:K33" si="17">J26/12</f>
        <v>5092.0361081333303</v>
      </c>
      <c r="L26" s="92">
        <f>K26*L24</f>
        <v>3564.4252756933301</v>
      </c>
      <c r="M26" s="86">
        <f>L26*M24</f>
        <v>2851.5402205546702</v>
      </c>
      <c r="N26" s="86">
        <f>L26*N24</f>
        <v>3207.982748124</v>
      </c>
      <c r="O26" s="86">
        <f>L26*O24</f>
        <v>3564.4252756933301</v>
      </c>
      <c r="P26" s="86"/>
      <c r="Q26" s="86"/>
      <c r="R26" s="86"/>
      <c r="S26" s="86"/>
      <c r="T26" s="106"/>
      <c r="U26" s="106"/>
      <c r="V26" s="107">
        <v>53</v>
      </c>
      <c r="W26" s="108">
        <f>K26</f>
        <v>5092.0361081333303</v>
      </c>
      <c r="X26" s="108">
        <f>M26</f>
        <v>2851.5402205546702</v>
      </c>
      <c r="Y26" s="108">
        <f>F26/12</f>
        <v>2096.52343055556</v>
      </c>
      <c r="Z26" s="113">
        <f>(Y26/W26)*100</f>
        <v>41.172595520421602</v>
      </c>
      <c r="AA26" s="114">
        <f>X26*Z26%</f>
        <v>1174.0531211111099</v>
      </c>
    </row>
    <row r="27" spans="1:27" x14ac:dyDescent="0.25">
      <c r="A27" s="85">
        <v>2</v>
      </c>
      <c r="B27" s="109"/>
      <c r="C27" s="91"/>
      <c r="D27" s="91"/>
      <c r="E27" s="91">
        <v>1509496.87</v>
      </c>
      <c r="F27" s="92">
        <f t="shared" si="12"/>
        <v>25158.2811666667</v>
      </c>
      <c r="G27" s="92">
        <f t="shared" si="13"/>
        <v>22642.45305</v>
      </c>
      <c r="H27" s="92">
        <f t="shared" si="14"/>
        <v>7547.4843499999997</v>
      </c>
      <c r="I27" s="92">
        <f t="shared" si="15"/>
        <v>55348.218566666699</v>
      </c>
      <c r="J27" s="92">
        <f t="shared" si="16"/>
        <v>61104.433297600001</v>
      </c>
      <c r="K27" s="92">
        <f t="shared" si="17"/>
        <v>5092.0361081333303</v>
      </c>
      <c r="L27" s="92">
        <f>K27*L24</f>
        <v>3564.4252756933301</v>
      </c>
      <c r="M27" s="92">
        <f>L27*M24</f>
        <v>2851.5402205546702</v>
      </c>
      <c r="N27" s="92">
        <f>L27*N24</f>
        <v>3207.982748124</v>
      </c>
      <c r="O27" s="103">
        <f>L27*O24</f>
        <v>3564.4252756933301</v>
      </c>
      <c r="P27" s="103"/>
      <c r="Q27" s="103"/>
      <c r="R27" s="103"/>
      <c r="S27" s="103"/>
      <c r="T27" s="106">
        <f t="shared" ref="T27:T28" si="18">(M27/12)-(10%)</f>
        <v>237.52835171288899</v>
      </c>
      <c r="U27" s="106"/>
      <c r="V27" s="109"/>
      <c r="W27" s="108">
        <f t="shared" ref="W27:W34" si="19">K27</f>
        <v>5092.0361081333303</v>
      </c>
      <c r="X27" s="108">
        <f t="shared" ref="X27:X34" si="20">M27</f>
        <v>2851.5402205546702</v>
      </c>
      <c r="Y27" s="108">
        <f t="shared" ref="Y27:Y34" si="21">F27/12</f>
        <v>2096.52343055556</v>
      </c>
      <c r="Z27" s="113">
        <f t="shared" ref="Z27:Z34" si="22">(Y27/W27)*100</f>
        <v>41.172595520421602</v>
      </c>
      <c r="AA27" s="114">
        <f t="shared" ref="AA27:AA34" si="23">X27*Z27%</f>
        <v>1174.0531211111099</v>
      </c>
    </row>
    <row r="28" spans="1:27" ht="51" x14ac:dyDescent="0.25">
      <c r="A28" s="85">
        <v>3</v>
      </c>
      <c r="B28" s="109"/>
      <c r="C28" s="93" t="s">
        <v>43</v>
      </c>
      <c r="D28" s="91">
        <v>58</v>
      </c>
      <c r="E28" s="91">
        <v>70207</v>
      </c>
      <c r="F28" s="92">
        <f t="shared" si="12"/>
        <v>1170.11666666667</v>
      </c>
      <c r="G28" s="92">
        <f t="shared" si="13"/>
        <v>1053.105</v>
      </c>
      <c r="H28" s="92">
        <f t="shared" si="14"/>
        <v>351.03500000000003</v>
      </c>
      <c r="I28" s="92">
        <f t="shared" si="15"/>
        <v>2574.2566666666698</v>
      </c>
      <c r="J28" s="92">
        <f t="shared" ref="J28:J33" si="24">I28*(100%+1.5%)</f>
        <v>2612.87051666667</v>
      </c>
      <c r="K28" s="92">
        <f t="shared" si="17"/>
        <v>217.739209722222</v>
      </c>
      <c r="L28" s="92">
        <f>K28*L24</f>
        <v>152.41744680555499</v>
      </c>
      <c r="M28" s="92">
        <f>L28*M24</f>
        <v>121.933957444444</v>
      </c>
      <c r="N28" s="92">
        <f>L28*N24</f>
        <v>137.17570212499999</v>
      </c>
      <c r="O28" s="103">
        <f>L28*O24</f>
        <v>152.41744680555499</v>
      </c>
      <c r="P28" s="103"/>
      <c r="Q28" s="103"/>
      <c r="R28" s="103"/>
      <c r="S28" s="103"/>
      <c r="T28" s="106">
        <f t="shared" si="18"/>
        <v>10.0611631203704</v>
      </c>
      <c r="U28" s="106"/>
      <c r="V28" s="109"/>
      <c r="W28" s="108">
        <f t="shared" si="19"/>
        <v>217.739209722222</v>
      </c>
      <c r="X28" s="108">
        <f t="shared" si="20"/>
        <v>121.933957444444</v>
      </c>
      <c r="Y28" s="108">
        <f t="shared" si="21"/>
        <v>97.509722222222194</v>
      </c>
      <c r="Z28" s="113">
        <f t="shared" si="22"/>
        <v>44.782803403493098</v>
      </c>
      <c r="AA28" s="114">
        <f t="shared" si="23"/>
        <v>54.605444444444402</v>
      </c>
    </row>
    <row r="29" spans="1:27" ht="25.5" x14ac:dyDescent="0.25">
      <c r="A29" s="87">
        <v>4</v>
      </c>
      <c r="B29" s="109"/>
      <c r="C29" s="93" t="s">
        <v>44</v>
      </c>
      <c r="D29" s="91">
        <v>58</v>
      </c>
      <c r="E29" s="91">
        <v>70207</v>
      </c>
      <c r="F29" s="92">
        <f t="shared" si="12"/>
        <v>1170.11666666667</v>
      </c>
      <c r="G29" s="92">
        <f t="shared" si="13"/>
        <v>1053.105</v>
      </c>
      <c r="H29" s="92">
        <f t="shared" si="14"/>
        <v>351.03500000000003</v>
      </c>
      <c r="I29" s="92">
        <f t="shared" si="15"/>
        <v>2574.2566666666698</v>
      </c>
      <c r="J29" s="92">
        <f t="shared" si="16"/>
        <v>2841.9793599999998</v>
      </c>
      <c r="K29" s="92">
        <f t="shared" si="17"/>
        <v>236.831613333333</v>
      </c>
      <c r="L29" s="92">
        <f>K29*L24</f>
        <v>165.78212933333299</v>
      </c>
      <c r="M29" s="92">
        <f>L29*M24</f>
        <v>132.62570346666701</v>
      </c>
      <c r="N29" s="92">
        <f>L29*N24</f>
        <v>149.2039164</v>
      </c>
      <c r="O29" s="103">
        <f>L29*O24</f>
        <v>165.78212933333299</v>
      </c>
      <c r="P29" s="103"/>
      <c r="Q29" s="103"/>
      <c r="R29" s="103"/>
      <c r="S29" s="103"/>
      <c r="T29" s="106"/>
      <c r="U29" s="106"/>
      <c r="V29" s="109"/>
      <c r="W29" s="108">
        <f t="shared" si="19"/>
        <v>236.831613333333</v>
      </c>
      <c r="X29" s="108">
        <f t="shared" si="20"/>
        <v>132.62570346666701</v>
      </c>
      <c r="Y29" s="108">
        <f t="shared" si="21"/>
        <v>97.509722222222194</v>
      </c>
      <c r="Z29" s="113">
        <f t="shared" si="22"/>
        <v>41.172595520421602</v>
      </c>
      <c r="AA29" s="114">
        <f t="shared" si="23"/>
        <v>54.605444444444402</v>
      </c>
    </row>
    <row r="30" spans="1:27" ht="25.5" x14ac:dyDescent="0.25">
      <c r="A30" s="87">
        <v>5</v>
      </c>
      <c r="B30" s="109"/>
      <c r="C30" s="93" t="s">
        <v>45</v>
      </c>
      <c r="D30" s="91"/>
      <c r="E30" s="92">
        <f>E25/D25</f>
        <v>2</v>
      </c>
      <c r="F30" s="92">
        <f t="shared" si="12"/>
        <v>3.3333333333333298E-2</v>
      </c>
      <c r="G30" s="92">
        <f t="shared" si="13"/>
        <v>0.03</v>
      </c>
      <c r="H30" s="92">
        <f t="shared" si="14"/>
        <v>0.01</v>
      </c>
      <c r="I30" s="92">
        <f t="shared" si="15"/>
        <v>7.3333333333333306E-2</v>
      </c>
      <c r="J30" s="92">
        <f t="shared" si="24"/>
        <v>7.4433333333333296E-2</v>
      </c>
      <c r="K30" s="92">
        <f t="shared" si="17"/>
        <v>6.2027777777777801E-3</v>
      </c>
      <c r="L30" s="92">
        <f>K30*L24</f>
        <v>4.3419444444444399E-3</v>
      </c>
      <c r="M30" s="92">
        <f>L30*M24</f>
        <v>3.47355555555555E-3</v>
      </c>
      <c r="N30" s="92">
        <f>L30*N24</f>
        <v>3.9077499999999998E-3</v>
      </c>
      <c r="O30" s="103">
        <f>L30*O24</f>
        <v>4.3419444444444399E-3</v>
      </c>
      <c r="P30" s="103"/>
      <c r="Q30" s="103"/>
      <c r="R30" s="103"/>
      <c r="S30" s="103"/>
      <c r="T30" s="106"/>
      <c r="U30" s="106"/>
      <c r="V30" s="109"/>
      <c r="W30" s="108">
        <f t="shared" si="19"/>
        <v>6.2027777777777801E-3</v>
      </c>
      <c r="X30" s="108">
        <f t="shared" si="20"/>
        <v>3.47355555555555E-3</v>
      </c>
      <c r="Y30" s="108">
        <f t="shared" si="21"/>
        <v>2.7777777777777801E-3</v>
      </c>
      <c r="Z30" s="113">
        <f t="shared" si="22"/>
        <v>44.782803403493098</v>
      </c>
      <c r="AA30" s="114">
        <f t="shared" si="23"/>
        <v>1.55555555555556E-3</v>
      </c>
    </row>
    <row r="31" spans="1:27" x14ac:dyDescent="0.25">
      <c r="A31" s="87">
        <v>6</v>
      </c>
      <c r="B31" s="109"/>
      <c r="C31" s="91"/>
      <c r="D31" s="91"/>
      <c r="E31" s="91"/>
      <c r="F31" s="91"/>
      <c r="G31" s="91"/>
      <c r="H31" s="91"/>
      <c r="I31" s="91"/>
      <c r="J31" s="91">
        <v>1.5</v>
      </c>
      <c r="K31" s="92">
        <f t="shared" si="17"/>
        <v>0.125</v>
      </c>
      <c r="L31" s="92">
        <f>K31*L24</f>
        <v>8.7499999999999994E-2</v>
      </c>
      <c r="M31" s="92">
        <f>L31*M24</f>
        <v>7.0000000000000007E-2</v>
      </c>
      <c r="N31" s="92">
        <f>L31*N24</f>
        <v>7.8750000000000001E-2</v>
      </c>
      <c r="O31" s="103">
        <f>L31*O24</f>
        <v>8.7499999999999994E-2</v>
      </c>
      <c r="P31" s="103"/>
      <c r="Q31" s="103"/>
      <c r="R31" s="103"/>
      <c r="S31" s="103"/>
      <c r="T31" s="106"/>
      <c r="U31" s="106"/>
      <c r="V31" s="109"/>
      <c r="W31" s="108">
        <f t="shared" si="19"/>
        <v>0.125</v>
      </c>
      <c r="X31" s="108">
        <f t="shared" si="20"/>
        <v>7.0000000000000007E-2</v>
      </c>
      <c r="Y31" s="108">
        <f t="shared" si="21"/>
        <v>0</v>
      </c>
      <c r="Z31" s="113">
        <f t="shared" si="22"/>
        <v>0</v>
      </c>
      <c r="AA31" s="114">
        <f t="shared" si="23"/>
        <v>0</v>
      </c>
    </row>
    <row r="32" spans="1:27" x14ac:dyDescent="0.25">
      <c r="A32" s="85">
        <v>7</v>
      </c>
      <c r="B32" s="109"/>
      <c r="C32" s="91"/>
      <c r="D32" s="91"/>
      <c r="E32" s="91"/>
      <c r="F32" s="91"/>
      <c r="G32" s="91"/>
      <c r="H32" s="91"/>
      <c r="I32" s="91"/>
      <c r="J32" s="91"/>
      <c r="K32" s="92">
        <f t="shared" si="17"/>
        <v>0</v>
      </c>
      <c r="L32" s="92">
        <f>K32*L24</f>
        <v>0</v>
      </c>
      <c r="M32" s="92">
        <f>L32*M24</f>
        <v>0</v>
      </c>
      <c r="N32" s="92">
        <f>L32*N24</f>
        <v>0</v>
      </c>
      <c r="O32" s="103">
        <f>L32*O24</f>
        <v>0</v>
      </c>
      <c r="P32" s="103"/>
      <c r="Q32" s="103"/>
      <c r="R32" s="103"/>
      <c r="S32" s="103"/>
      <c r="T32" s="106"/>
      <c r="U32" s="106"/>
      <c r="V32" s="109"/>
      <c r="W32" s="108">
        <f t="shared" si="19"/>
        <v>0</v>
      </c>
      <c r="X32" s="108">
        <f t="shared" si="20"/>
        <v>0</v>
      </c>
      <c r="Y32" s="108">
        <f t="shared" si="21"/>
        <v>0</v>
      </c>
      <c r="Z32" s="113" t="e">
        <f t="shared" si="22"/>
        <v>#DIV/0!</v>
      </c>
      <c r="AA32" s="114" t="e">
        <f t="shared" si="23"/>
        <v>#DIV/0!</v>
      </c>
    </row>
    <row r="33" spans="3:27" x14ac:dyDescent="0.25">
      <c r="C33" s="91"/>
      <c r="D33" s="91">
        <v>1585</v>
      </c>
      <c r="E33" s="91">
        <v>1509496.87</v>
      </c>
      <c r="F33" s="92">
        <f>E33/60</f>
        <v>25158.2811666667</v>
      </c>
      <c r="G33" s="92">
        <f>E33*1.5%</f>
        <v>22642.45305</v>
      </c>
      <c r="H33" s="91">
        <f>E33*0.5%</f>
        <v>7547.4843499999997</v>
      </c>
      <c r="I33" s="92">
        <f>F33+G33+H33</f>
        <v>55348.218566666699</v>
      </c>
      <c r="J33" s="92">
        <f t="shared" si="24"/>
        <v>56178.441845166701</v>
      </c>
      <c r="K33" s="92">
        <f t="shared" si="17"/>
        <v>4681.5368204305596</v>
      </c>
      <c r="L33" s="92">
        <f>K33*L24</f>
        <v>3277.0757743013901</v>
      </c>
      <c r="M33" s="92">
        <f>L33*M24</f>
        <v>2621.6606194411102</v>
      </c>
      <c r="N33" s="92">
        <f>L33*N24</f>
        <v>2949.3681968712499</v>
      </c>
      <c r="O33" s="103">
        <f>L33*O24</f>
        <v>3277.0757743013901</v>
      </c>
      <c r="P33" s="103"/>
      <c r="Q33" s="103"/>
      <c r="R33" s="103"/>
      <c r="S33" s="103"/>
      <c r="T33" s="106"/>
      <c r="U33" s="106"/>
      <c r="V33" s="111"/>
      <c r="W33" s="108">
        <f t="shared" si="19"/>
        <v>4681.5368204305596</v>
      </c>
      <c r="X33" s="108">
        <f t="shared" si="20"/>
        <v>2621.6606194411102</v>
      </c>
      <c r="Y33" s="108">
        <f t="shared" si="21"/>
        <v>2096.52343055556</v>
      </c>
      <c r="Z33" s="113">
        <f t="shared" si="22"/>
        <v>44.782803403493098</v>
      </c>
      <c r="AA33" s="114">
        <f t="shared" si="23"/>
        <v>1174.0531211111099</v>
      </c>
    </row>
    <row r="34" spans="3:27" x14ac:dyDescent="0.25"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86"/>
      <c r="U34" s="86"/>
      <c r="V34" s="109"/>
      <c r="W34" s="108">
        <f t="shared" si="19"/>
        <v>0</v>
      </c>
      <c r="X34" s="108">
        <f t="shared" si="20"/>
        <v>0</v>
      </c>
      <c r="Y34" s="108">
        <f t="shared" si="21"/>
        <v>0</v>
      </c>
      <c r="Z34" s="113" t="e">
        <f t="shared" si="22"/>
        <v>#DIV/0!</v>
      </c>
      <c r="AA34" s="114" t="e">
        <f t="shared" si="23"/>
        <v>#DIV/0!</v>
      </c>
    </row>
    <row r="35" spans="3:27" x14ac:dyDescent="0.2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</row>
    <row r="36" spans="3:27" x14ac:dyDescent="0.25"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</row>
  </sheetData>
  <mergeCells count="34">
    <mergeCell ref="A7:A8"/>
    <mergeCell ref="A23:A24"/>
    <mergeCell ref="B7:B8"/>
    <mergeCell ref="B23:B24"/>
    <mergeCell ref="C7:C8"/>
    <mergeCell ref="C23:C24"/>
    <mergeCell ref="D7:D8"/>
    <mergeCell ref="D23:D24"/>
    <mergeCell ref="E7:E8"/>
    <mergeCell ref="E23:E24"/>
    <mergeCell ref="F7:F8"/>
    <mergeCell ref="F23:F24"/>
    <mergeCell ref="G7:G8"/>
    <mergeCell ref="G23:G24"/>
    <mergeCell ref="H7:H8"/>
    <mergeCell ref="H23:H24"/>
    <mergeCell ref="I7:I8"/>
    <mergeCell ref="I23:I24"/>
    <mergeCell ref="AA7:AA8"/>
    <mergeCell ref="AA23:AA24"/>
    <mergeCell ref="K7:K8"/>
    <mergeCell ref="K23:K24"/>
    <mergeCell ref="P7:P8"/>
    <mergeCell ref="P23:P24"/>
    <mergeCell ref="U7:U8"/>
    <mergeCell ref="U23:U24"/>
    <mergeCell ref="M7:O7"/>
    <mergeCell ref="Q7:T7"/>
    <mergeCell ref="W7:Z7"/>
    <mergeCell ref="M23:O23"/>
    <mergeCell ref="Q23:T23"/>
    <mergeCell ref="W23:Z23"/>
    <mergeCell ref="V7:V8"/>
    <mergeCell ref="V23:V24"/>
  </mergeCells>
  <pageMargins left="0.75" right="0.75" top="0.97916666666666696" bottom="0.97916666666666696" header="0.50902777777777797" footer="0.50902777777777797"/>
  <pageSetup paperSize="256" fitToWidth="0" fitToHeight="0" orientation="portrait" useFirstPageNumber="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36"/>
  <sheetViews>
    <sheetView topLeftCell="A19" zoomScale="70" zoomScaleNormal="70" workbookViewId="0">
      <selection activeCell="B39" sqref="B39"/>
    </sheetView>
  </sheetViews>
  <sheetFormatPr defaultColWidth="9.140625" defaultRowHeight="12.75" x14ac:dyDescent="0.25"/>
  <cols>
    <col min="1" max="4" width="9.140625" style="1"/>
    <col min="5" max="5" width="11.28515625" style="1" customWidth="1"/>
    <col min="6" max="6" width="13.28515625" style="1" customWidth="1"/>
    <col min="7" max="7" width="10.7109375" style="1" customWidth="1"/>
    <col min="8" max="8" width="9.5703125" style="1" customWidth="1"/>
    <col min="9" max="9" width="9.140625" style="1"/>
    <col min="10" max="10" width="12.5703125" style="1" customWidth="1"/>
    <col min="11" max="11" width="9.140625" style="1"/>
    <col min="12" max="12" width="12.7109375" style="1" customWidth="1"/>
    <col min="13" max="13" width="11.42578125" style="1" customWidth="1"/>
    <col min="14" max="14" width="10.42578125" style="1" customWidth="1"/>
    <col min="15" max="16" width="12.28515625" style="1" customWidth="1"/>
    <col min="17" max="17" width="7.28515625" style="1" customWidth="1"/>
    <col min="18" max="18" width="7" style="1" customWidth="1"/>
    <col min="19" max="19" width="6.28515625" style="1" customWidth="1"/>
    <col min="20" max="21" width="7" style="1" customWidth="1"/>
    <col min="22" max="23" width="9.140625" style="1"/>
    <col min="24" max="24" width="9.85546875" style="1" customWidth="1"/>
    <col min="25" max="25" width="10.85546875" style="1" customWidth="1"/>
    <col min="26" max="26" width="10.5703125" style="1" customWidth="1"/>
    <col min="27" max="264" width="9.140625" style="1"/>
    <col min="265" max="265" width="11.28515625" style="1" customWidth="1"/>
    <col min="266" max="266" width="13.28515625" style="1" customWidth="1"/>
    <col min="267" max="267" width="10.7109375" style="1" customWidth="1"/>
    <col min="268" max="268" width="9.5703125" style="1" customWidth="1"/>
    <col min="269" max="270" width="9.140625" style="1"/>
    <col min="271" max="271" width="12.7109375" style="1" customWidth="1"/>
    <col min="272" max="272" width="10.7109375" style="1" customWidth="1"/>
    <col min="273" max="273" width="12.5703125" style="1" customWidth="1"/>
    <col min="274" max="274" width="9.140625" style="1"/>
    <col min="275" max="275" width="11" style="1" customWidth="1"/>
    <col min="276" max="276" width="10.85546875" style="1" customWidth="1"/>
    <col min="277" max="520" width="9.140625" style="1"/>
    <col min="521" max="521" width="11.28515625" style="1" customWidth="1"/>
    <col min="522" max="522" width="13.28515625" style="1" customWidth="1"/>
    <col min="523" max="523" width="10.7109375" style="1" customWidth="1"/>
    <col min="524" max="524" width="9.5703125" style="1" customWidth="1"/>
    <col min="525" max="526" width="9.140625" style="1"/>
    <col min="527" max="527" width="12.7109375" style="1" customWidth="1"/>
    <col min="528" max="528" width="10.7109375" style="1" customWidth="1"/>
    <col min="529" max="529" width="12.5703125" style="1" customWidth="1"/>
    <col min="530" max="530" width="9.140625" style="1"/>
    <col min="531" max="531" width="11" style="1" customWidth="1"/>
    <col min="532" max="532" width="10.85546875" style="1" customWidth="1"/>
    <col min="533" max="776" width="9.140625" style="1"/>
    <col min="777" max="777" width="11.28515625" style="1" customWidth="1"/>
    <col min="778" max="778" width="13.28515625" style="1" customWidth="1"/>
    <col min="779" max="779" width="10.7109375" style="1" customWidth="1"/>
    <col min="780" max="780" width="9.5703125" style="1" customWidth="1"/>
    <col min="781" max="782" width="9.140625" style="1"/>
    <col min="783" max="783" width="12.7109375" style="1" customWidth="1"/>
    <col min="784" max="784" width="10.7109375" style="1" customWidth="1"/>
    <col min="785" max="785" width="12.5703125" style="1" customWidth="1"/>
    <col min="786" max="786" width="9.140625" style="1"/>
    <col min="787" max="787" width="11" style="1" customWidth="1"/>
    <col min="788" max="788" width="10.85546875" style="1" customWidth="1"/>
    <col min="789" max="1032" width="9.140625" style="1"/>
    <col min="1033" max="1033" width="11.28515625" style="1" customWidth="1"/>
    <col min="1034" max="1034" width="13.28515625" style="1" customWidth="1"/>
    <col min="1035" max="1035" width="10.7109375" style="1" customWidth="1"/>
    <col min="1036" max="1036" width="9.5703125" style="1" customWidth="1"/>
    <col min="1037" max="1038" width="9.140625" style="1"/>
    <col min="1039" max="1039" width="12.7109375" style="1" customWidth="1"/>
    <col min="1040" max="1040" width="10.7109375" style="1" customWidth="1"/>
    <col min="1041" max="1041" width="12.5703125" style="1" customWidth="1"/>
    <col min="1042" max="1042" width="9.140625" style="1"/>
    <col min="1043" max="1043" width="11" style="1" customWidth="1"/>
    <col min="1044" max="1044" width="10.85546875" style="1" customWidth="1"/>
    <col min="1045" max="1288" width="9.140625" style="1"/>
    <col min="1289" max="1289" width="11.28515625" style="1" customWidth="1"/>
    <col min="1290" max="1290" width="13.28515625" style="1" customWidth="1"/>
    <col min="1291" max="1291" width="10.7109375" style="1" customWidth="1"/>
    <col min="1292" max="1292" width="9.5703125" style="1" customWidth="1"/>
    <col min="1293" max="1294" width="9.140625" style="1"/>
    <col min="1295" max="1295" width="12.7109375" style="1" customWidth="1"/>
    <col min="1296" max="1296" width="10.7109375" style="1" customWidth="1"/>
    <col min="1297" max="1297" width="12.5703125" style="1" customWidth="1"/>
    <col min="1298" max="1298" width="9.140625" style="1"/>
    <col min="1299" max="1299" width="11" style="1" customWidth="1"/>
    <col min="1300" max="1300" width="10.85546875" style="1" customWidth="1"/>
    <col min="1301" max="1544" width="9.140625" style="1"/>
    <col min="1545" max="1545" width="11.28515625" style="1" customWidth="1"/>
    <col min="1546" max="1546" width="13.28515625" style="1" customWidth="1"/>
    <col min="1547" max="1547" width="10.7109375" style="1" customWidth="1"/>
    <col min="1548" max="1548" width="9.5703125" style="1" customWidth="1"/>
    <col min="1549" max="1550" width="9.140625" style="1"/>
    <col min="1551" max="1551" width="12.7109375" style="1" customWidth="1"/>
    <col min="1552" max="1552" width="10.7109375" style="1" customWidth="1"/>
    <col min="1553" max="1553" width="12.5703125" style="1" customWidth="1"/>
    <col min="1554" max="1554" width="9.140625" style="1"/>
    <col min="1555" max="1555" width="11" style="1" customWidth="1"/>
    <col min="1556" max="1556" width="10.85546875" style="1" customWidth="1"/>
    <col min="1557" max="1800" width="9.140625" style="1"/>
    <col min="1801" max="1801" width="11.28515625" style="1" customWidth="1"/>
    <col min="1802" max="1802" width="13.28515625" style="1" customWidth="1"/>
    <col min="1803" max="1803" width="10.7109375" style="1" customWidth="1"/>
    <col min="1804" max="1804" width="9.5703125" style="1" customWidth="1"/>
    <col min="1805" max="1806" width="9.140625" style="1"/>
    <col min="1807" max="1807" width="12.7109375" style="1" customWidth="1"/>
    <col min="1808" max="1808" width="10.7109375" style="1" customWidth="1"/>
    <col min="1809" max="1809" width="12.5703125" style="1" customWidth="1"/>
    <col min="1810" max="1810" width="9.140625" style="1"/>
    <col min="1811" max="1811" width="11" style="1" customWidth="1"/>
    <col min="1812" max="1812" width="10.85546875" style="1" customWidth="1"/>
    <col min="1813" max="2056" width="9.140625" style="1"/>
    <col min="2057" max="2057" width="11.28515625" style="1" customWidth="1"/>
    <col min="2058" max="2058" width="13.28515625" style="1" customWidth="1"/>
    <col min="2059" max="2059" width="10.7109375" style="1" customWidth="1"/>
    <col min="2060" max="2060" width="9.5703125" style="1" customWidth="1"/>
    <col min="2061" max="2062" width="9.140625" style="1"/>
    <col min="2063" max="2063" width="12.7109375" style="1" customWidth="1"/>
    <col min="2064" max="2064" width="10.7109375" style="1" customWidth="1"/>
    <col min="2065" max="2065" width="12.5703125" style="1" customWidth="1"/>
    <col min="2066" max="2066" width="9.140625" style="1"/>
    <col min="2067" max="2067" width="11" style="1" customWidth="1"/>
    <col min="2068" max="2068" width="10.85546875" style="1" customWidth="1"/>
    <col min="2069" max="2312" width="9.140625" style="1"/>
    <col min="2313" max="2313" width="11.28515625" style="1" customWidth="1"/>
    <col min="2314" max="2314" width="13.28515625" style="1" customWidth="1"/>
    <col min="2315" max="2315" width="10.7109375" style="1" customWidth="1"/>
    <col min="2316" max="2316" width="9.5703125" style="1" customWidth="1"/>
    <col min="2317" max="2318" width="9.140625" style="1"/>
    <col min="2319" max="2319" width="12.7109375" style="1" customWidth="1"/>
    <col min="2320" max="2320" width="10.7109375" style="1" customWidth="1"/>
    <col min="2321" max="2321" width="12.5703125" style="1" customWidth="1"/>
    <col min="2322" max="2322" width="9.140625" style="1"/>
    <col min="2323" max="2323" width="11" style="1" customWidth="1"/>
    <col min="2324" max="2324" width="10.85546875" style="1" customWidth="1"/>
    <col min="2325" max="2568" width="9.140625" style="1"/>
    <col min="2569" max="2569" width="11.28515625" style="1" customWidth="1"/>
    <col min="2570" max="2570" width="13.28515625" style="1" customWidth="1"/>
    <col min="2571" max="2571" width="10.7109375" style="1" customWidth="1"/>
    <col min="2572" max="2572" width="9.5703125" style="1" customWidth="1"/>
    <col min="2573" max="2574" width="9.140625" style="1"/>
    <col min="2575" max="2575" width="12.7109375" style="1" customWidth="1"/>
    <col min="2576" max="2576" width="10.7109375" style="1" customWidth="1"/>
    <col min="2577" max="2577" width="12.5703125" style="1" customWidth="1"/>
    <col min="2578" max="2578" width="9.140625" style="1"/>
    <col min="2579" max="2579" width="11" style="1" customWidth="1"/>
    <col min="2580" max="2580" width="10.85546875" style="1" customWidth="1"/>
    <col min="2581" max="2824" width="9.140625" style="1"/>
    <col min="2825" max="2825" width="11.28515625" style="1" customWidth="1"/>
    <col min="2826" max="2826" width="13.28515625" style="1" customWidth="1"/>
    <col min="2827" max="2827" width="10.7109375" style="1" customWidth="1"/>
    <col min="2828" max="2828" width="9.5703125" style="1" customWidth="1"/>
    <col min="2829" max="2830" width="9.140625" style="1"/>
    <col min="2831" max="2831" width="12.7109375" style="1" customWidth="1"/>
    <col min="2832" max="2832" width="10.7109375" style="1" customWidth="1"/>
    <col min="2833" max="2833" width="12.5703125" style="1" customWidth="1"/>
    <col min="2834" max="2834" width="9.140625" style="1"/>
    <col min="2835" max="2835" width="11" style="1" customWidth="1"/>
    <col min="2836" max="2836" width="10.85546875" style="1" customWidth="1"/>
    <col min="2837" max="3080" width="9.140625" style="1"/>
    <col min="3081" max="3081" width="11.28515625" style="1" customWidth="1"/>
    <col min="3082" max="3082" width="13.28515625" style="1" customWidth="1"/>
    <col min="3083" max="3083" width="10.7109375" style="1" customWidth="1"/>
    <col min="3084" max="3084" width="9.5703125" style="1" customWidth="1"/>
    <col min="3085" max="3086" width="9.140625" style="1"/>
    <col min="3087" max="3087" width="12.7109375" style="1" customWidth="1"/>
    <col min="3088" max="3088" width="10.7109375" style="1" customWidth="1"/>
    <col min="3089" max="3089" width="12.5703125" style="1" customWidth="1"/>
    <col min="3090" max="3090" width="9.140625" style="1"/>
    <col min="3091" max="3091" width="11" style="1" customWidth="1"/>
    <col min="3092" max="3092" width="10.85546875" style="1" customWidth="1"/>
    <col min="3093" max="3336" width="9.140625" style="1"/>
    <col min="3337" max="3337" width="11.28515625" style="1" customWidth="1"/>
    <col min="3338" max="3338" width="13.28515625" style="1" customWidth="1"/>
    <col min="3339" max="3339" width="10.7109375" style="1" customWidth="1"/>
    <col min="3340" max="3340" width="9.5703125" style="1" customWidth="1"/>
    <col min="3341" max="3342" width="9.140625" style="1"/>
    <col min="3343" max="3343" width="12.7109375" style="1" customWidth="1"/>
    <col min="3344" max="3344" width="10.7109375" style="1" customWidth="1"/>
    <col min="3345" max="3345" width="12.5703125" style="1" customWidth="1"/>
    <col min="3346" max="3346" width="9.140625" style="1"/>
    <col min="3347" max="3347" width="11" style="1" customWidth="1"/>
    <col min="3348" max="3348" width="10.85546875" style="1" customWidth="1"/>
    <col min="3349" max="3592" width="9.140625" style="1"/>
    <col min="3593" max="3593" width="11.28515625" style="1" customWidth="1"/>
    <col min="3594" max="3594" width="13.28515625" style="1" customWidth="1"/>
    <col min="3595" max="3595" width="10.7109375" style="1" customWidth="1"/>
    <col min="3596" max="3596" width="9.5703125" style="1" customWidth="1"/>
    <col min="3597" max="3598" width="9.140625" style="1"/>
    <col min="3599" max="3599" width="12.7109375" style="1" customWidth="1"/>
    <col min="3600" max="3600" width="10.7109375" style="1" customWidth="1"/>
    <col min="3601" max="3601" width="12.5703125" style="1" customWidth="1"/>
    <col min="3602" max="3602" width="9.140625" style="1"/>
    <col min="3603" max="3603" width="11" style="1" customWidth="1"/>
    <col min="3604" max="3604" width="10.85546875" style="1" customWidth="1"/>
    <col min="3605" max="3848" width="9.140625" style="1"/>
    <col min="3849" max="3849" width="11.28515625" style="1" customWidth="1"/>
    <col min="3850" max="3850" width="13.28515625" style="1" customWidth="1"/>
    <col min="3851" max="3851" width="10.7109375" style="1" customWidth="1"/>
    <col min="3852" max="3852" width="9.5703125" style="1" customWidth="1"/>
    <col min="3853" max="3854" width="9.140625" style="1"/>
    <col min="3855" max="3855" width="12.7109375" style="1" customWidth="1"/>
    <col min="3856" max="3856" width="10.7109375" style="1" customWidth="1"/>
    <col min="3857" max="3857" width="12.5703125" style="1" customWidth="1"/>
    <col min="3858" max="3858" width="9.140625" style="1"/>
    <col min="3859" max="3859" width="11" style="1" customWidth="1"/>
    <col min="3860" max="3860" width="10.85546875" style="1" customWidth="1"/>
    <col min="3861" max="4104" width="9.140625" style="1"/>
    <col min="4105" max="4105" width="11.28515625" style="1" customWidth="1"/>
    <col min="4106" max="4106" width="13.28515625" style="1" customWidth="1"/>
    <col min="4107" max="4107" width="10.7109375" style="1" customWidth="1"/>
    <col min="4108" max="4108" width="9.5703125" style="1" customWidth="1"/>
    <col min="4109" max="4110" width="9.140625" style="1"/>
    <col min="4111" max="4111" width="12.7109375" style="1" customWidth="1"/>
    <col min="4112" max="4112" width="10.7109375" style="1" customWidth="1"/>
    <col min="4113" max="4113" width="12.5703125" style="1" customWidth="1"/>
    <col min="4114" max="4114" width="9.140625" style="1"/>
    <col min="4115" max="4115" width="11" style="1" customWidth="1"/>
    <col min="4116" max="4116" width="10.85546875" style="1" customWidth="1"/>
    <col min="4117" max="4360" width="9.140625" style="1"/>
    <col min="4361" max="4361" width="11.28515625" style="1" customWidth="1"/>
    <col min="4362" max="4362" width="13.28515625" style="1" customWidth="1"/>
    <col min="4363" max="4363" width="10.7109375" style="1" customWidth="1"/>
    <col min="4364" max="4364" width="9.5703125" style="1" customWidth="1"/>
    <col min="4365" max="4366" width="9.140625" style="1"/>
    <col min="4367" max="4367" width="12.7109375" style="1" customWidth="1"/>
    <col min="4368" max="4368" width="10.7109375" style="1" customWidth="1"/>
    <col min="4369" max="4369" width="12.5703125" style="1" customWidth="1"/>
    <col min="4370" max="4370" width="9.140625" style="1"/>
    <col min="4371" max="4371" width="11" style="1" customWidth="1"/>
    <col min="4372" max="4372" width="10.85546875" style="1" customWidth="1"/>
    <col min="4373" max="4616" width="9.140625" style="1"/>
    <col min="4617" max="4617" width="11.28515625" style="1" customWidth="1"/>
    <col min="4618" max="4618" width="13.28515625" style="1" customWidth="1"/>
    <col min="4619" max="4619" width="10.7109375" style="1" customWidth="1"/>
    <col min="4620" max="4620" width="9.5703125" style="1" customWidth="1"/>
    <col min="4621" max="4622" width="9.140625" style="1"/>
    <col min="4623" max="4623" width="12.7109375" style="1" customWidth="1"/>
    <col min="4624" max="4624" width="10.7109375" style="1" customWidth="1"/>
    <col min="4625" max="4625" width="12.5703125" style="1" customWidth="1"/>
    <col min="4626" max="4626" width="9.140625" style="1"/>
    <col min="4627" max="4627" width="11" style="1" customWidth="1"/>
    <col min="4628" max="4628" width="10.85546875" style="1" customWidth="1"/>
    <col min="4629" max="4872" width="9.140625" style="1"/>
    <col min="4873" max="4873" width="11.28515625" style="1" customWidth="1"/>
    <col min="4874" max="4874" width="13.28515625" style="1" customWidth="1"/>
    <col min="4875" max="4875" width="10.7109375" style="1" customWidth="1"/>
    <col min="4876" max="4876" width="9.5703125" style="1" customWidth="1"/>
    <col min="4877" max="4878" width="9.140625" style="1"/>
    <col min="4879" max="4879" width="12.7109375" style="1" customWidth="1"/>
    <col min="4880" max="4880" width="10.7109375" style="1" customWidth="1"/>
    <col min="4881" max="4881" width="12.5703125" style="1" customWidth="1"/>
    <col min="4882" max="4882" width="9.140625" style="1"/>
    <col min="4883" max="4883" width="11" style="1" customWidth="1"/>
    <col min="4884" max="4884" width="10.85546875" style="1" customWidth="1"/>
    <col min="4885" max="5128" width="9.140625" style="1"/>
    <col min="5129" max="5129" width="11.28515625" style="1" customWidth="1"/>
    <col min="5130" max="5130" width="13.28515625" style="1" customWidth="1"/>
    <col min="5131" max="5131" width="10.7109375" style="1" customWidth="1"/>
    <col min="5132" max="5132" width="9.5703125" style="1" customWidth="1"/>
    <col min="5133" max="5134" width="9.140625" style="1"/>
    <col min="5135" max="5135" width="12.7109375" style="1" customWidth="1"/>
    <col min="5136" max="5136" width="10.7109375" style="1" customWidth="1"/>
    <col min="5137" max="5137" width="12.5703125" style="1" customWidth="1"/>
    <col min="5138" max="5138" width="9.140625" style="1"/>
    <col min="5139" max="5139" width="11" style="1" customWidth="1"/>
    <col min="5140" max="5140" width="10.85546875" style="1" customWidth="1"/>
    <col min="5141" max="5384" width="9.140625" style="1"/>
    <col min="5385" max="5385" width="11.28515625" style="1" customWidth="1"/>
    <col min="5386" max="5386" width="13.28515625" style="1" customWidth="1"/>
    <col min="5387" max="5387" width="10.7109375" style="1" customWidth="1"/>
    <col min="5388" max="5388" width="9.5703125" style="1" customWidth="1"/>
    <col min="5389" max="5390" width="9.140625" style="1"/>
    <col min="5391" max="5391" width="12.7109375" style="1" customWidth="1"/>
    <col min="5392" max="5392" width="10.7109375" style="1" customWidth="1"/>
    <col min="5393" max="5393" width="12.5703125" style="1" customWidth="1"/>
    <col min="5394" max="5394" width="9.140625" style="1"/>
    <col min="5395" max="5395" width="11" style="1" customWidth="1"/>
    <col min="5396" max="5396" width="10.85546875" style="1" customWidth="1"/>
    <col min="5397" max="5640" width="9.140625" style="1"/>
    <col min="5641" max="5641" width="11.28515625" style="1" customWidth="1"/>
    <col min="5642" max="5642" width="13.28515625" style="1" customWidth="1"/>
    <col min="5643" max="5643" width="10.7109375" style="1" customWidth="1"/>
    <col min="5644" max="5644" width="9.5703125" style="1" customWidth="1"/>
    <col min="5645" max="5646" width="9.140625" style="1"/>
    <col min="5647" max="5647" width="12.7109375" style="1" customWidth="1"/>
    <col min="5648" max="5648" width="10.7109375" style="1" customWidth="1"/>
    <col min="5649" max="5649" width="12.5703125" style="1" customWidth="1"/>
    <col min="5650" max="5650" width="9.140625" style="1"/>
    <col min="5651" max="5651" width="11" style="1" customWidth="1"/>
    <col min="5652" max="5652" width="10.85546875" style="1" customWidth="1"/>
    <col min="5653" max="5896" width="9.140625" style="1"/>
    <col min="5897" max="5897" width="11.28515625" style="1" customWidth="1"/>
    <col min="5898" max="5898" width="13.28515625" style="1" customWidth="1"/>
    <col min="5899" max="5899" width="10.7109375" style="1" customWidth="1"/>
    <col min="5900" max="5900" width="9.5703125" style="1" customWidth="1"/>
    <col min="5901" max="5902" width="9.140625" style="1"/>
    <col min="5903" max="5903" width="12.7109375" style="1" customWidth="1"/>
    <col min="5904" max="5904" width="10.7109375" style="1" customWidth="1"/>
    <col min="5905" max="5905" width="12.5703125" style="1" customWidth="1"/>
    <col min="5906" max="5906" width="9.140625" style="1"/>
    <col min="5907" max="5907" width="11" style="1" customWidth="1"/>
    <col min="5908" max="5908" width="10.85546875" style="1" customWidth="1"/>
    <col min="5909" max="6152" width="9.140625" style="1"/>
    <col min="6153" max="6153" width="11.28515625" style="1" customWidth="1"/>
    <col min="6154" max="6154" width="13.28515625" style="1" customWidth="1"/>
    <col min="6155" max="6155" width="10.7109375" style="1" customWidth="1"/>
    <col min="6156" max="6156" width="9.5703125" style="1" customWidth="1"/>
    <col min="6157" max="6158" width="9.140625" style="1"/>
    <col min="6159" max="6159" width="12.7109375" style="1" customWidth="1"/>
    <col min="6160" max="6160" width="10.7109375" style="1" customWidth="1"/>
    <col min="6161" max="6161" width="12.5703125" style="1" customWidth="1"/>
    <col min="6162" max="6162" width="9.140625" style="1"/>
    <col min="6163" max="6163" width="11" style="1" customWidth="1"/>
    <col min="6164" max="6164" width="10.85546875" style="1" customWidth="1"/>
    <col min="6165" max="6408" width="9.140625" style="1"/>
    <col min="6409" max="6409" width="11.28515625" style="1" customWidth="1"/>
    <col min="6410" max="6410" width="13.28515625" style="1" customWidth="1"/>
    <col min="6411" max="6411" width="10.7109375" style="1" customWidth="1"/>
    <col min="6412" max="6412" width="9.5703125" style="1" customWidth="1"/>
    <col min="6413" max="6414" width="9.140625" style="1"/>
    <col min="6415" max="6415" width="12.7109375" style="1" customWidth="1"/>
    <col min="6416" max="6416" width="10.7109375" style="1" customWidth="1"/>
    <col min="6417" max="6417" width="12.5703125" style="1" customWidth="1"/>
    <col min="6418" max="6418" width="9.140625" style="1"/>
    <col min="6419" max="6419" width="11" style="1" customWidth="1"/>
    <col min="6420" max="6420" width="10.85546875" style="1" customWidth="1"/>
    <col min="6421" max="6664" width="9.140625" style="1"/>
    <col min="6665" max="6665" width="11.28515625" style="1" customWidth="1"/>
    <col min="6666" max="6666" width="13.28515625" style="1" customWidth="1"/>
    <col min="6667" max="6667" width="10.7109375" style="1" customWidth="1"/>
    <col min="6668" max="6668" width="9.5703125" style="1" customWidth="1"/>
    <col min="6669" max="6670" width="9.140625" style="1"/>
    <col min="6671" max="6671" width="12.7109375" style="1" customWidth="1"/>
    <col min="6672" max="6672" width="10.7109375" style="1" customWidth="1"/>
    <col min="6673" max="6673" width="12.5703125" style="1" customWidth="1"/>
    <col min="6674" max="6674" width="9.140625" style="1"/>
    <col min="6675" max="6675" width="11" style="1" customWidth="1"/>
    <col min="6676" max="6676" width="10.85546875" style="1" customWidth="1"/>
    <col min="6677" max="6920" width="9.140625" style="1"/>
    <col min="6921" max="6921" width="11.28515625" style="1" customWidth="1"/>
    <col min="6922" max="6922" width="13.28515625" style="1" customWidth="1"/>
    <col min="6923" max="6923" width="10.7109375" style="1" customWidth="1"/>
    <col min="6924" max="6924" width="9.5703125" style="1" customWidth="1"/>
    <col min="6925" max="6926" width="9.140625" style="1"/>
    <col min="6927" max="6927" width="12.7109375" style="1" customWidth="1"/>
    <col min="6928" max="6928" width="10.7109375" style="1" customWidth="1"/>
    <col min="6929" max="6929" width="12.5703125" style="1" customWidth="1"/>
    <col min="6930" max="6930" width="9.140625" style="1"/>
    <col min="6931" max="6931" width="11" style="1" customWidth="1"/>
    <col min="6932" max="6932" width="10.85546875" style="1" customWidth="1"/>
    <col min="6933" max="7176" width="9.140625" style="1"/>
    <col min="7177" max="7177" width="11.28515625" style="1" customWidth="1"/>
    <col min="7178" max="7178" width="13.28515625" style="1" customWidth="1"/>
    <col min="7179" max="7179" width="10.7109375" style="1" customWidth="1"/>
    <col min="7180" max="7180" width="9.5703125" style="1" customWidth="1"/>
    <col min="7181" max="7182" width="9.140625" style="1"/>
    <col min="7183" max="7183" width="12.7109375" style="1" customWidth="1"/>
    <col min="7184" max="7184" width="10.7109375" style="1" customWidth="1"/>
    <col min="7185" max="7185" width="12.5703125" style="1" customWidth="1"/>
    <col min="7186" max="7186" width="9.140625" style="1"/>
    <col min="7187" max="7187" width="11" style="1" customWidth="1"/>
    <col min="7188" max="7188" width="10.85546875" style="1" customWidth="1"/>
    <col min="7189" max="7432" width="9.140625" style="1"/>
    <col min="7433" max="7433" width="11.28515625" style="1" customWidth="1"/>
    <col min="7434" max="7434" width="13.28515625" style="1" customWidth="1"/>
    <col min="7435" max="7435" width="10.7109375" style="1" customWidth="1"/>
    <col min="7436" max="7436" width="9.5703125" style="1" customWidth="1"/>
    <col min="7437" max="7438" width="9.140625" style="1"/>
    <col min="7439" max="7439" width="12.7109375" style="1" customWidth="1"/>
    <col min="7440" max="7440" width="10.7109375" style="1" customWidth="1"/>
    <col min="7441" max="7441" width="12.5703125" style="1" customWidth="1"/>
    <col min="7442" max="7442" width="9.140625" style="1"/>
    <col min="7443" max="7443" width="11" style="1" customWidth="1"/>
    <col min="7444" max="7444" width="10.85546875" style="1" customWidth="1"/>
    <col min="7445" max="7688" width="9.140625" style="1"/>
    <col min="7689" max="7689" width="11.28515625" style="1" customWidth="1"/>
    <col min="7690" max="7690" width="13.28515625" style="1" customWidth="1"/>
    <col min="7691" max="7691" width="10.7109375" style="1" customWidth="1"/>
    <col min="7692" max="7692" width="9.5703125" style="1" customWidth="1"/>
    <col min="7693" max="7694" width="9.140625" style="1"/>
    <col min="7695" max="7695" width="12.7109375" style="1" customWidth="1"/>
    <col min="7696" max="7696" width="10.7109375" style="1" customWidth="1"/>
    <col min="7697" max="7697" width="12.5703125" style="1" customWidth="1"/>
    <col min="7698" max="7698" width="9.140625" style="1"/>
    <col min="7699" max="7699" width="11" style="1" customWidth="1"/>
    <col min="7700" max="7700" width="10.85546875" style="1" customWidth="1"/>
    <col min="7701" max="7944" width="9.140625" style="1"/>
    <col min="7945" max="7945" width="11.28515625" style="1" customWidth="1"/>
    <col min="7946" max="7946" width="13.28515625" style="1" customWidth="1"/>
    <col min="7947" max="7947" width="10.7109375" style="1" customWidth="1"/>
    <col min="7948" max="7948" width="9.5703125" style="1" customWidth="1"/>
    <col min="7949" max="7950" width="9.140625" style="1"/>
    <col min="7951" max="7951" width="12.7109375" style="1" customWidth="1"/>
    <col min="7952" max="7952" width="10.7109375" style="1" customWidth="1"/>
    <col min="7953" max="7953" width="12.5703125" style="1" customWidth="1"/>
    <col min="7954" max="7954" width="9.140625" style="1"/>
    <col min="7955" max="7955" width="11" style="1" customWidth="1"/>
    <col min="7956" max="7956" width="10.85546875" style="1" customWidth="1"/>
    <col min="7957" max="8200" width="9.140625" style="1"/>
    <col min="8201" max="8201" width="11.28515625" style="1" customWidth="1"/>
    <col min="8202" max="8202" width="13.28515625" style="1" customWidth="1"/>
    <col min="8203" max="8203" width="10.7109375" style="1" customWidth="1"/>
    <col min="8204" max="8204" width="9.5703125" style="1" customWidth="1"/>
    <col min="8205" max="8206" width="9.140625" style="1"/>
    <col min="8207" max="8207" width="12.7109375" style="1" customWidth="1"/>
    <col min="8208" max="8208" width="10.7109375" style="1" customWidth="1"/>
    <col min="8209" max="8209" width="12.5703125" style="1" customWidth="1"/>
    <col min="8210" max="8210" width="9.140625" style="1"/>
    <col min="8211" max="8211" width="11" style="1" customWidth="1"/>
    <col min="8212" max="8212" width="10.85546875" style="1" customWidth="1"/>
    <col min="8213" max="8456" width="9.140625" style="1"/>
    <col min="8457" max="8457" width="11.28515625" style="1" customWidth="1"/>
    <col min="8458" max="8458" width="13.28515625" style="1" customWidth="1"/>
    <col min="8459" max="8459" width="10.7109375" style="1" customWidth="1"/>
    <col min="8460" max="8460" width="9.5703125" style="1" customWidth="1"/>
    <col min="8461" max="8462" width="9.140625" style="1"/>
    <col min="8463" max="8463" width="12.7109375" style="1" customWidth="1"/>
    <col min="8464" max="8464" width="10.7109375" style="1" customWidth="1"/>
    <col min="8465" max="8465" width="12.5703125" style="1" customWidth="1"/>
    <col min="8466" max="8466" width="9.140625" style="1"/>
    <col min="8467" max="8467" width="11" style="1" customWidth="1"/>
    <col min="8468" max="8468" width="10.85546875" style="1" customWidth="1"/>
    <col min="8469" max="8712" width="9.140625" style="1"/>
    <col min="8713" max="8713" width="11.28515625" style="1" customWidth="1"/>
    <col min="8714" max="8714" width="13.28515625" style="1" customWidth="1"/>
    <col min="8715" max="8715" width="10.7109375" style="1" customWidth="1"/>
    <col min="8716" max="8716" width="9.5703125" style="1" customWidth="1"/>
    <col min="8717" max="8718" width="9.140625" style="1"/>
    <col min="8719" max="8719" width="12.7109375" style="1" customWidth="1"/>
    <col min="8720" max="8720" width="10.7109375" style="1" customWidth="1"/>
    <col min="8721" max="8721" width="12.5703125" style="1" customWidth="1"/>
    <col min="8722" max="8722" width="9.140625" style="1"/>
    <col min="8723" max="8723" width="11" style="1" customWidth="1"/>
    <col min="8724" max="8724" width="10.85546875" style="1" customWidth="1"/>
    <col min="8725" max="8968" width="9.140625" style="1"/>
    <col min="8969" max="8969" width="11.28515625" style="1" customWidth="1"/>
    <col min="8970" max="8970" width="13.28515625" style="1" customWidth="1"/>
    <col min="8971" max="8971" width="10.7109375" style="1" customWidth="1"/>
    <col min="8972" max="8972" width="9.5703125" style="1" customWidth="1"/>
    <col min="8973" max="8974" width="9.140625" style="1"/>
    <col min="8975" max="8975" width="12.7109375" style="1" customWidth="1"/>
    <col min="8976" max="8976" width="10.7109375" style="1" customWidth="1"/>
    <col min="8977" max="8977" width="12.5703125" style="1" customWidth="1"/>
    <col min="8978" max="8978" width="9.140625" style="1"/>
    <col min="8979" max="8979" width="11" style="1" customWidth="1"/>
    <col min="8980" max="8980" width="10.85546875" style="1" customWidth="1"/>
    <col min="8981" max="9224" width="9.140625" style="1"/>
    <col min="9225" max="9225" width="11.28515625" style="1" customWidth="1"/>
    <col min="9226" max="9226" width="13.28515625" style="1" customWidth="1"/>
    <col min="9227" max="9227" width="10.7109375" style="1" customWidth="1"/>
    <col min="9228" max="9228" width="9.5703125" style="1" customWidth="1"/>
    <col min="9229" max="9230" width="9.140625" style="1"/>
    <col min="9231" max="9231" width="12.7109375" style="1" customWidth="1"/>
    <col min="9232" max="9232" width="10.7109375" style="1" customWidth="1"/>
    <col min="9233" max="9233" width="12.5703125" style="1" customWidth="1"/>
    <col min="9234" max="9234" width="9.140625" style="1"/>
    <col min="9235" max="9235" width="11" style="1" customWidth="1"/>
    <col min="9236" max="9236" width="10.85546875" style="1" customWidth="1"/>
    <col min="9237" max="9480" width="9.140625" style="1"/>
    <col min="9481" max="9481" width="11.28515625" style="1" customWidth="1"/>
    <col min="9482" max="9482" width="13.28515625" style="1" customWidth="1"/>
    <col min="9483" max="9483" width="10.7109375" style="1" customWidth="1"/>
    <col min="9484" max="9484" width="9.5703125" style="1" customWidth="1"/>
    <col min="9485" max="9486" width="9.140625" style="1"/>
    <col min="9487" max="9487" width="12.7109375" style="1" customWidth="1"/>
    <col min="9488" max="9488" width="10.7109375" style="1" customWidth="1"/>
    <col min="9489" max="9489" width="12.5703125" style="1" customWidth="1"/>
    <col min="9490" max="9490" width="9.140625" style="1"/>
    <col min="9491" max="9491" width="11" style="1" customWidth="1"/>
    <col min="9492" max="9492" width="10.85546875" style="1" customWidth="1"/>
    <col min="9493" max="9736" width="9.140625" style="1"/>
    <col min="9737" max="9737" width="11.28515625" style="1" customWidth="1"/>
    <col min="9738" max="9738" width="13.28515625" style="1" customWidth="1"/>
    <col min="9739" max="9739" width="10.7109375" style="1" customWidth="1"/>
    <col min="9740" max="9740" width="9.5703125" style="1" customWidth="1"/>
    <col min="9741" max="9742" width="9.140625" style="1"/>
    <col min="9743" max="9743" width="12.7109375" style="1" customWidth="1"/>
    <col min="9744" max="9744" width="10.7109375" style="1" customWidth="1"/>
    <col min="9745" max="9745" width="12.5703125" style="1" customWidth="1"/>
    <col min="9746" max="9746" width="9.140625" style="1"/>
    <col min="9747" max="9747" width="11" style="1" customWidth="1"/>
    <col min="9748" max="9748" width="10.85546875" style="1" customWidth="1"/>
    <col min="9749" max="9992" width="9.140625" style="1"/>
    <col min="9993" max="9993" width="11.28515625" style="1" customWidth="1"/>
    <col min="9994" max="9994" width="13.28515625" style="1" customWidth="1"/>
    <col min="9995" max="9995" width="10.7109375" style="1" customWidth="1"/>
    <col min="9996" max="9996" width="9.5703125" style="1" customWidth="1"/>
    <col min="9997" max="9998" width="9.140625" style="1"/>
    <col min="9999" max="9999" width="12.7109375" style="1" customWidth="1"/>
    <col min="10000" max="10000" width="10.7109375" style="1" customWidth="1"/>
    <col min="10001" max="10001" width="12.5703125" style="1" customWidth="1"/>
    <col min="10002" max="10002" width="9.140625" style="1"/>
    <col min="10003" max="10003" width="11" style="1" customWidth="1"/>
    <col min="10004" max="10004" width="10.85546875" style="1" customWidth="1"/>
    <col min="10005" max="10248" width="9.140625" style="1"/>
    <col min="10249" max="10249" width="11.28515625" style="1" customWidth="1"/>
    <col min="10250" max="10250" width="13.28515625" style="1" customWidth="1"/>
    <col min="10251" max="10251" width="10.7109375" style="1" customWidth="1"/>
    <col min="10252" max="10252" width="9.5703125" style="1" customWidth="1"/>
    <col min="10253" max="10254" width="9.140625" style="1"/>
    <col min="10255" max="10255" width="12.7109375" style="1" customWidth="1"/>
    <col min="10256" max="10256" width="10.7109375" style="1" customWidth="1"/>
    <col min="10257" max="10257" width="12.5703125" style="1" customWidth="1"/>
    <col min="10258" max="10258" width="9.140625" style="1"/>
    <col min="10259" max="10259" width="11" style="1" customWidth="1"/>
    <col min="10260" max="10260" width="10.85546875" style="1" customWidth="1"/>
    <col min="10261" max="10504" width="9.140625" style="1"/>
    <col min="10505" max="10505" width="11.28515625" style="1" customWidth="1"/>
    <col min="10506" max="10506" width="13.28515625" style="1" customWidth="1"/>
    <col min="10507" max="10507" width="10.7109375" style="1" customWidth="1"/>
    <col min="10508" max="10508" width="9.5703125" style="1" customWidth="1"/>
    <col min="10509" max="10510" width="9.140625" style="1"/>
    <col min="10511" max="10511" width="12.7109375" style="1" customWidth="1"/>
    <col min="10512" max="10512" width="10.7109375" style="1" customWidth="1"/>
    <col min="10513" max="10513" width="12.5703125" style="1" customWidth="1"/>
    <col min="10514" max="10514" width="9.140625" style="1"/>
    <col min="10515" max="10515" width="11" style="1" customWidth="1"/>
    <col min="10516" max="10516" width="10.85546875" style="1" customWidth="1"/>
    <col min="10517" max="10760" width="9.140625" style="1"/>
    <col min="10761" max="10761" width="11.28515625" style="1" customWidth="1"/>
    <col min="10762" max="10762" width="13.28515625" style="1" customWidth="1"/>
    <col min="10763" max="10763" width="10.7109375" style="1" customWidth="1"/>
    <col min="10764" max="10764" width="9.5703125" style="1" customWidth="1"/>
    <col min="10765" max="10766" width="9.140625" style="1"/>
    <col min="10767" max="10767" width="12.7109375" style="1" customWidth="1"/>
    <col min="10768" max="10768" width="10.7109375" style="1" customWidth="1"/>
    <col min="10769" max="10769" width="12.5703125" style="1" customWidth="1"/>
    <col min="10770" max="10770" width="9.140625" style="1"/>
    <col min="10771" max="10771" width="11" style="1" customWidth="1"/>
    <col min="10772" max="10772" width="10.85546875" style="1" customWidth="1"/>
    <col min="10773" max="11016" width="9.140625" style="1"/>
    <col min="11017" max="11017" width="11.28515625" style="1" customWidth="1"/>
    <col min="11018" max="11018" width="13.28515625" style="1" customWidth="1"/>
    <col min="11019" max="11019" width="10.7109375" style="1" customWidth="1"/>
    <col min="11020" max="11020" width="9.5703125" style="1" customWidth="1"/>
    <col min="11021" max="11022" width="9.140625" style="1"/>
    <col min="11023" max="11023" width="12.7109375" style="1" customWidth="1"/>
    <col min="11024" max="11024" width="10.7109375" style="1" customWidth="1"/>
    <col min="11025" max="11025" width="12.5703125" style="1" customWidth="1"/>
    <col min="11026" max="11026" width="9.140625" style="1"/>
    <col min="11027" max="11027" width="11" style="1" customWidth="1"/>
    <col min="11028" max="11028" width="10.85546875" style="1" customWidth="1"/>
    <col min="11029" max="11272" width="9.140625" style="1"/>
    <col min="11273" max="11273" width="11.28515625" style="1" customWidth="1"/>
    <col min="11274" max="11274" width="13.28515625" style="1" customWidth="1"/>
    <col min="11275" max="11275" width="10.7109375" style="1" customWidth="1"/>
    <col min="11276" max="11276" width="9.5703125" style="1" customWidth="1"/>
    <col min="11277" max="11278" width="9.140625" style="1"/>
    <col min="11279" max="11279" width="12.7109375" style="1" customWidth="1"/>
    <col min="11280" max="11280" width="10.7109375" style="1" customWidth="1"/>
    <col min="11281" max="11281" width="12.5703125" style="1" customWidth="1"/>
    <col min="11282" max="11282" width="9.140625" style="1"/>
    <col min="11283" max="11283" width="11" style="1" customWidth="1"/>
    <col min="11284" max="11284" width="10.85546875" style="1" customWidth="1"/>
    <col min="11285" max="11528" width="9.140625" style="1"/>
    <col min="11529" max="11529" width="11.28515625" style="1" customWidth="1"/>
    <col min="11530" max="11530" width="13.28515625" style="1" customWidth="1"/>
    <col min="11531" max="11531" width="10.7109375" style="1" customWidth="1"/>
    <col min="11532" max="11532" width="9.5703125" style="1" customWidth="1"/>
    <col min="11533" max="11534" width="9.140625" style="1"/>
    <col min="11535" max="11535" width="12.7109375" style="1" customWidth="1"/>
    <col min="11536" max="11536" width="10.7109375" style="1" customWidth="1"/>
    <col min="11537" max="11537" width="12.5703125" style="1" customWidth="1"/>
    <col min="11538" max="11538" width="9.140625" style="1"/>
    <col min="11539" max="11539" width="11" style="1" customWidth="1"/>
    <col min="11540" max="11540" width="10.85546875" style="1" customWidth="1"/>
    <col min="11541" max="11784" width="9.140625" style="1"/>
    <col min="11785" max="11785" width="11.28515625" style="1" customWidth="1"/>
    <col min="11786" max="11786" width="13.28515625" style="1" customWidth="1"/>
    <col min="11787" max="11787" width="10.7109375" style="1" customWidth="1"/>
    <col min="11788" max="11788" width="9.5703125" style="1" customWidth="1"/>
    <col min="11789" max="11790" width="9.140625" style="1"/>
    <col min="11791" max="11791" width="12.7109375" style="1" customWidth="1"/>
    <col min="11792" max="11792" width="10.7109375" style="1" customWidth="1"/>
    <col min="11793" max="11793" width="12.5703125" style="1" customWidth="1"/>
    <col min="11794" max="11794" width="9.140625" style="1"/>
    <col min="11795" max="11795" width="11" style="1" customWidth="1"/>
    <col min="11796" max="11796" width="10.85546875" style="1" customWidth="1"/>
    <col min="11797" max="12040" width="9.140625" style="1"/>
    <col min="12041" max="12041" width="11.28515625" style="1" customWidth="1"/>
    <col min="12042" max="12042" width="13.28515625" style="1" customWidth="1"/>
    <col min="12043" max="12043" width="10.7109375" style="1" customWidth="1"/>
    <col min="12044" max="12044" width="9.5703125" style="1" customWidth="1"/>
    <col min="12045" max="12046" width="9.140625" style="1"/>
    <col min="12047" max="12047" width="12.7109375" style="1" customWidth="1"/>
    <col min="12048" max="12048" width="10.7109375" style="1" customWidth="1"/>
    <col min="12049" max="12049" width="12.5703125" style="1" customWidth="1"/>
    <col min="12050" max="12050" width="9.140625" style="1"/>
    <col min="12051" max="12051" width="11" style="1" customWidth="1"/>
    <col min="12052" max="12052" width="10.85546875" style="1" customWidth="1"/>
    <col min="12053" max="12296" width="9.140625" style="1"/>
    <col min="12297" max="12297" width="11.28515625" style="1" customWidth="1"/>
    <col min="12298" max="12298" width="13.28515625" style="1" customWidth="1"/>
    <col min="12299" max="12299" width="10.7109375" style="1" customWidth="1"/>
    <col min="12300" max="12300" width="9.5703125" style="1" customWidth="1"/>
    <col min="12301" max="12302" width="9.140625" style="1"/>
    <col min="12303" max="12303" width="12.7109375" style="1" customWidth="1"/>
    <col min="12304" max="12304" width="10.7109375" style="1" customWidth="1"/>
    <col min="12305" max="12305" width="12.5703125" style="1" customWidth="1"/>
    <col min="12306" max="12306" width="9.140625" style="1"/>
    <col min="12307" max="12307" width="11" style="1" customWidth="1"/>
    <col min="12308" max="12308" width="10.85546875" style="1" customWidth="1"/>
    <col min="12309" max="12552" width="9.140625" style="1"/>
    <col min="12553" max="12553" width="11.28515625" style="1" customWidth="1"/>
    <col min="12554" max="12554" width="13.28515625" style="1" customWidth="1"/>
    <col min="12555" max="12555" width="10.7109375" style="1" customWidth="1"/>
    <col min="12556" max="12556" width="9.5703125" style="1" customWidth="1"/>
    <col min="12557" max="12558" width="9.140625" style="1"/>
    <col min="12559" max="12559" width="12.7109375" style="1" customWidth="1"/>
    <col min="12560" max="12560" width="10.7109375" style="1" customWidth="1"/>
    <col min="12561" max="12561" width="12.5703125" style="1" customWidth="1"/>
    <col min="12562" max="12562" width="9.140625" style="1"/>
    <col min="12563" max="12563" width="11" style="1" customWidth="1"/>
    <col min="12564" max="12564" width="10.85546875" style="1" customWidth="1"/>
    <col min="12565" max="12808" width="9.140625" style="1"/>
    <col min="12809" max="12809" width="11.28515625" style="1" customWidth="1"/>
    <col min="12810" max="12810" width="13.28515625" style="1" customWidth="1"/>
    <col min="12811" max="12811" width="10.7109375" style="1" customWidth="1"/>
    <col min="12812" max="12812" width="9.5703125" style="1" customWidth="1"/>
    <col min="12813" max="12814" width="9.140625" style="1"/>
    <col min="12815" max="12815" width="12.7109375" style="1" customWidth="1"/>
    <col min="12816" max="12816" width="10.7109375" style="1" customWidth="1"/>
    <col min="12817" max="12817" width="12.5703125" style="1" customWidth="1"/>
    <col min="12818" max="12818" width="9.140625" style="1"/>
    <col min="12819" max="12819" width="11" style="1" customWidth="1"/>
    <col min="12820" max="12820" width="10.85546875" style="1" customWidth="1"/>
    <col min="12821" max="13064" width="9.140625" style="1"/>
    <col min="13065" max="13065" width="11.28515625" style="1" customWidth="1"/>
    <col min="13066" max="13066" width="13.28515625" style="1" customWidth="1"/>
    <col min="13067" max="13067" width="10.7109375" style="1" customWidth="1"/>
    <col min="13068" max="13068" width="9.5703125" style="1" customWidth="1"/>
    <col min="13069" max="13070" width="9.140625" style="1"/>
    <col min="13071" max="13071" width="12.7109375" style="1" customWidth="1"/>
    <col min="13072" max="13072" width="10.7109375" style="1" customWidth="1"/>
    <col min="13073" max="13073" width="12.5703125" style="1" customWidth="1"/>
    <col min="13074" max="13074" width="9.140625" style="1"/>
    <col min="13075" max="13075" width="11" style="1" customWidth="1"/>
    <col min="13076" max="13076" width="10.85546875" style="1" customWidth="1"/>
    <col min="13077" max="13320" width="9.140625" style="1"/>
    <col min="13321" max="13321" width="11.28515625" style="1" customWidth="1"/>
    <col min="13322" max="13322" width="13.28515625" style="1" customWidth="1"/>
    <col min="13323" max="13323" width="10.7109375" style="1" customWidth="1"/>
    <col min="13324" max="13324" width="9.5703125" style="1" customWidth="1"/>
    <col min="13325" max="13326" width="9.140625" style="1"/>
    <col min="13327" max="13327" width="12.7109375" style="1" customWidth="1"/>
    <col min="13328" max="13328" width="10.7109375" style="1" customWidth="1"/>
    <col min="13329" max="13329" width="12.5703125" style="1" customWidth="1"/>
    <col min="13330" max="13330" width="9.140625" style="1"/>
    <col min="13331" max="13331" width="11" style="1" customWidth="1"/>
    <col min="13332" max="13332" width="10.85546875" style="1" customWidth="1"/>
    <col min="13333" max="13576" width="9.140625" style="1"/>
    <col min="13577" max="13577" width="11.28515625" style="1" customWidth="1"/>
    <col min="13578" max="13578" width="13.28515625" style="1" customWidth="1"/>
    <col min="13579" max="13579" width="10.7109375" style="1" customWidth="1"/>
    <col min="13580" max="13580" width="9.5703125" style="1" customWidth="1"/>
    <col min="13581" max="13582" width="9.140625" style="1"/>
    <col min="13583" max="13583" width="12.7109375" style="1" customWidth="1"/>
    <col min="13584" max="13584" width="10.7109375" style="1" customWidth="1"/>
    <col min="13585" max="13585" width="12.5703125" style="1" customWidth="1"/>
    <col min="13586" max="13586" width="9.140625" style="1"/>
    <col min="13587" max="13587" width="11" style="1" customWidth="1"/>
    <col min="13588" max="13588" width="10.85546875" style="1" customWidth="1"/>
    <col min="13589" max="13832" width="9.140625" style="1"/>
    <col min="13833" max="13833" width="11.28515625" style="1" customWidth="1"/>
    <col min="13834" max="13834" width="13.28515625" style="1" customWidth="1"/>
    <col min="13835" max="13835" width="10.7109375" style="1" customWidth="1"/>
    <col min="13836" max="13836" width="9.5703125" style="1" customWidth="1"/>
    <col min="13837" max="13838" width="9.140625" style="1"/>
    <col min="13839" max="13839" width="12.7109375" style="1" customWidth="1"/>
    <col min="13840" max="13840" width="10.7109375" style="1" customWidth="1"/>
    <col min="13841" max="13841" width="12.5703125" style="1" customWidth="1"/>
    <col min="13842" max="13842" width="9.140625" style="1"/>
    <col min="13843" max="13843" width="11" style="1" customWidth="1"/>
    <col min="13844" max="13844" width="10.85546875" style="1" customWidth="1"/>
    <col min="13845" max="14088" width="9.140625" style="1"/>
    <col min="14089" max="14089" width="11.28515625" style="1" customWidth="1"/>
    <col min="14090" max="14090" width="13.28515625" style="1" customWidth="1"/>
    <col min="14091" max="14091" width="10.7109375" style="1" customWidth="1"/>
    <col min="14092" max="14092" width="9.5703125" style="1" customWidth="1"/>
    <col min="14093" max="14094" width="9.140625" style="1"/>
    <col min="14095" max="14095" width="12.7109375" style="1" customWidth="1"/>
    <col min="14096" max="14096" width="10.7109375" style="1" customWidth="1"/>
    <col min="14097" max="14097" width="12.5703125" style="1" customWidth="1"/>
    <col min="14098" max="14098" width="9.140625" style="1"/>
    <col min="14099" max="14099" width="11" style="1" customWidth="1"/>
    <col min="14100" max="14100" width="10.85546875" style="1" customWidth="1"/>
    <col min="14101" max="14344" width="9.140625" style="1"/>
    <col min="14345" max="14345" width="11.28515625" style="1" customWidth="1"/>
    <col min="14346" max="14346" width="13.28515625" style="1" customWidth="1"/>
    <col min="14347" max="14347" width="10.7109375" style="1" customWidth="1"/>
    <col min="14348" max="14348" width="9.5703125" style="1" customWidth="1"/>
    <col min="14349" max="14350" width="9.140625" style="1"/>
    <col min="14351" max="14351" width="12.7109375" style="1" customWidth="1"/>
    <col min="14352" max="14352" width="10.7109375" style="1" customWidth="1"/>
    <col min="14353" max="14353" width="12.5703125" style="1" customWidth="1"/>
    <col min="14354" max="14354" width="9.140625" style="1"/>
    <col min="14355" max="14355" width="11" style="1" customWidth="1"/>
    <col min="14356" max="14356" width="10.85546875" style="1" customWidth="1"/>
    <col min="14357" max="14600" width="9.140625" style="1"/>
    <col min="14601" max="14601" width="11.28515625" style="1" customWidth="1"/>
    <col min="14602" max="14602" width="13.28515625" style="1" customWidth="1"/>
    <col min="14603" max="14603" width="10.7109375" style="1" customWidth="1"/>
    <col min="14604" max="14604" width="9.5703125" style="1" customWidth="1"/>
    <col min="14605" max="14606" width="9.140625" style="1"/>
    <col min="14607" max="14607" width="12.7109375" style="1" customWidth="1"/>
    <col min="14608" max="14608" width="10.7109375" style="1" customWidth="1"/>
    <col min="14609" max="14609" width="12.5703125" style="1" customWidth="1"/>
    <col min="14610" max="14610" width="9.140625" style="1"/>
    <col min="14611" max="14611" width="11" style="1" customWidth="1"/>
    <col min="14612" max="14612" width="10.85546875" style="1" customWidth="1"/>
    <col min="14613" max="14856" width="9.140625" style="1"/>
    <col min="14857" max="14857" width="11.28515625" style="1" customWidth="1"/>
    <col min="14858" max="14858" width="13.28515625" style="1" customWidth="1"/>
    <col min="14859" max="14859" width="10.7109375" style="1" customWidth="1"/>
    <col min="14860" max="14860" width="9.5703125" style="1" customWidth="1"/>
    <col min="14861" max="14862" width="9.140625" style="1"/>
    <col min="14863" max="14863" width="12.7109375" style="1" customWidth="1"/>
    <col min="14864" max="14864" width="10.7109375" style="1" customWidth="1"/>
    <col min="14865" max="14865" width="12.5703125" style="1" customWidth="1"/>
    <col min="14866" max="14866" width="9.140625" style="1"/>
    <col min="14867" max="14867" width="11" style="1" customWidth="1"/>
    <col min="14868" max="14868" width="10.85546875" style="1" customWidth="1"/>
    <col min="14869" max="15112" width="9.140625" style="1"/>
    <col min="15113" max="15113" width="11.28515625" style="1" customWidth="1"/>
    <col min="15114" max="15114" width="13.28515625" style="1" customWidth="1"/>
    <col min="15115" max="15115" width="10.7109375" style="1" customWidth="1"/>
    <col min="15116" max="15116" width="9.5703125" style="1" customWidth="1"/>
    <col min="15117" max="15118" width="9.140625" style="1"/>
    <col min="15119" max="15119" width="12.7109375" style="1" customWidth="1"/>
    <col min="15120" max="15120" width="10.7109375" style="1" customWidth="1"/>
    <col min="15121" max="15121" width="12.5703125" style="1" customWidth="1"/>
    <col min="15122" max="15122" width="9.140625" style="1"/>
    <col min="15123" max="15123" width="11" style="1" customWidth="1"/>
    <col min="15124" max="15124" width="10.85546875" style="1" customWidth="1"/>
    <col min="15125" max="15368" width="9.140625" style="1"/>
    <col min="15369" max="15369" width="11.28515625" style="1" customWidth="1"/>
    <col min="15370" max="15370" width="13.28515625" style="1" customWidth="1"/>
    <col min="15371" max="15371" width="10.7109375" style="1" customWidth="1"/>
    <col min="15372" max="15372" width="9.5703125" style="1" customWidth="1"/>
    <col min="15373" max="15374" width="9.140625" style="1"/>
    <col min="15375" max="15375" width="12.7109375" style="1" customWidth="1"/>
    <col min="15376" max="15376" width="10.7109375" style="1" customWidth="1"/>
    <col min="15377" max="15377" width="12.5703125" style="1" customWidth="1"/>
    <col min="15378" max="15378" width="9.140625" style="1"/>
    <col min="15379" max="15379" width="11" style="1" customWidth="1"/>
    <col min="15380" max="15380" width="10.85546875" style="1" customWidth="1"/>
    <col min="15381" max="15624" width="9.140625" style="1"/>
    <col min="15625" max="15625" width="11.28515625" style="1" customWidth="1"/>
    <col min="15626" max="15626" width="13.28515625" style="1" customWidth="1"/>
    <col min="15627" max="15627" width="10.7109375" style="1" customWidth="1"/>
    <col min="15628" max="15628" width="9.5703125" style="1" customWidth="1"/>
    <col min="15629" max="15630" width="9.140625" style="1"/>
    <col min="15631" max="15631" width="12.7109375" style="1" customWidth="1"/>
    <col min="15632" max="15632" width="10.7109375" style="1" customWidth="1"/>
    <col min="15633" max="15633" width="12.5703125" style="1" customWidth="1"/>
    <col min="15634" max="15634" width="9.140625" style="1"/>
    <col min="15635" max="15635" width="11" style="1" customWidth="1"/>
    <col min="15636" max="15636" width="10.85546875" style="1" customWidth="1"/>
    <col min="15637" max="15880" width="9.140625" style="1"/>
    <col min="15881" max="15881" width="11.28515625" style="1" customWidth="1"/>
    <col min="15882" max="15882" width="13.28515625" style="1" customWidth="1"/>
    <col min="15883" max="15883" width="10.7109375" style="1" customWidth="1"/>
    <col min="15884" max="15884" width="9.5703125" style="1" customWidth="1"/>
    <col min="15885" max="15886" width="9.140625" style="1"/>
    <col min="15887" max="15887" width="12.7109375" style="1" customWidth="1"/>
    <col min="15888" max="15888" width="10.7109375" style="1" customWidth="1"/>
    <col min="15889" max="15889" width="12.5703125" style="1" customWidth="1"/>
    <col min="15890" max="15890" width="9.140625" style="1"/>
    <col min="15891" max="15891" width="11" style="1" customWidth="1"/>
    <col min="15892" max="15892" width="10.85546875" style="1" customWidth="1"/>
    <col min="15893" max="16136" width="9.140625" style="1"/>
    <col min="16137" max="16137" width="11.28515625" style="1" customWidth="1"/>
    <col min="16138" max="16138" width="13.28515625" style="1" customWidth="1"/>
    <col min="16139" max="16139" width="10.7109375" style="1" customWidth="1"/>
    <col min="16140" max="16140" width="9.5703125" style="1" customWidth="1"/>
    <col min="16141" max="16142" width="9.140625" style="1"/>
    <col min="16143" max="16143" width="12.7109375" style="1" customWidth="1"/>
    <col min="16144" max="16144" width="10.7109375" style="1" customWidth="1"/>
    <col min="16145" max="16145" width="12.5703125" style="1" customWidth="1"/>
    <col min="16146" max="16146" width="9.140625" style="1"/>
    <col min="16147" max="16147" width="11" style="1" customWidth="1"/>
    <col min="16148" max="16148" width="10.85546875" style="1" customWidth="1"/>
    <col min="16149" max="16384" width="9.140625" style="1"/>
  </cols>
  <sheetData>
    <row r="5" spans="1:27" x14ac:dyDescent="0.25">
      <c r="C5" s="82" t="s">
        <v>0</v>
      </c>
    </row>
    <row r="7" spans="1:27" ht="147" customHeight="1" x14ac:dyDescent="0.25">
      <c r="A7" s="161" t="s">
        <v>1</v>
      </c>
      <c r="B7" s="161" t="s">
        <v>2</v>
      </c>
      <c r="C7" s="146" t="s">
        <v>3</v>
      </c>
      <c r="D7" s="146" t="s">
        <v>4</v>
      </c>
      <c r="E7" s="146" t="s">
        <v>5</v>
      </c>
      <c r="F7" s="146" t="s">
        <v>6</v>
      </c>
      <c r="G7" s="146" t="s">
        <v>7</v>
      </c>
      <c r="H7" s="146" t="s">
        <v>8</v>
      </c>
      <c r="I7" s="146" t="s">
        <v>9</v>
      </c>
      <c r="J7" s="97" t="s">
        <v>10</v>
      </c>
      <c r="K7" s="146" t="s">
        <v>11</v>
      </c>
      <c r="L7" s="97" t="s">
        <v>12</v>
      </c>
      <c r="M7" s="150" t="s">
        <v>13</v>
      </c>
      <c r="N7" s="151"/>
      <c r="O7" s="152"/>
      <c r="P7" s="146" t="s">
        <v>14</v>
      </c>
      <c r="Q7" s="153" t="s">
        <v>15</v>
      </c>
      <c r="R7" s="154"/>
      <c r="S7" s="154"/>
      <c r="T7" s="155"/>
      <c r="U7" s="148" t="s">
        <v>16</v>
      </c>
      <c r="V7" s="159" t="s">
        <v>17</v>
      </c>
      <c r="W7" s="156" t="s">
        <v>18</v>
      </c>
      <c r="X7" s="157"/>
      <c r="Y7" s="157"/>
      <c r="Z7" s="158"/>
      <c r="AA7" s="144" t="s">
        <v>19</v>
      </c>
    </row>
    <row r="8" spans="1:27" ht="66.599999999999994" customHeight="1" x14ac:dyDescent="0.25">
      <c r="A8" s="162"/>
      <c r="B8" s="162"/>
      <c r="C8" s="147"/>
      <c r="D8" s="147"/>
      <c r="E8" s="147"/>
      <c r="F8" s="147"/>
      <c r="G8" s="147"/>
      <c r="H8" s="147"/>
      <c r="I8" s="147"/>
      <c r="J8" s="97">
        <v>10.4</v>
      </c>
      <c r="K8" s="147"/>
      <c r="L8" s="97">
        <v>0.7</v>
      </c>
      <c r="M8" s="98">
        <v>0.8</v>
      </c>
      <c r="N8" s="99">
        <v>0.9</v>
      </c>
      <c r="O8" s="100">
        <v>1</v>
      </c>
      <c r="P8" s="147"/>
      <c r="Q8" s="101">
        <v>0.1</v>
      </c>
      <c r="R8" s="104">
        <v>0.2</v>
      </c>
      <c r="S8" s="104">
        <v>0.3</v>
      </c>
      <c r="T8" s="104">
        <v>0.1</v>
      </c>
      <c r="U8" s="149"/>
      <c r="V8" s="160"/>
      <c r="W8" s="105" t="s">
        <v>20</v>
      </c>
      <c r="X8" s="105" t="s">
        <v>21</v>
      </c>
      <c r="Y8" s="105" t="s">
        <v>22</v>
      </c>
      <c r="Z8" s="105" t="s">
        <v>23</v>
      </c>
      <c r="AA8" s="145"/>
    </row>
    <row r="9" spans="1:27" x14ac:dyDescent="0.25">
      <c r="A9" s="109"/>
      <c r="B9" s="109"/>
      <c r="C9" s="83">
        <v>0</v>
      </c>
      <c r="D9" s="83">
        <v>1</v>
      </c>
      <c r="E9" s="83">
        <v>2</v>
      </c>
      <c r="F9" s="83" t="s">
        <v>24</v>
      </c>
      <c r="G9" s="83" t="s">
        <v>25</v>
      </c>
      <c r="H9" s="83" t="s">
        <v>26</v>
      </c>
      <c r="I9" s="83" t="s">
        <v>27</v>
      </c>
      <c r="J9" s="83" t="s">
        <v>28</v>
      </c>
      <c r="K9" s="83" t="s">
        <v>29</v>
      </c>
      <c r="L9" s="83" t="s">
        <v>30</v>
      </c>
      <c r="M9" s="83" t="s">
        <v>31</v>
      </c>
      <c r="N9" s="83" t="s">
        <v>32</v>
      </c>
      <c r="O9" s="83" t="s">
        <v>32</v>
      </c>
      <c r="P9" s="83">
        <v>10</v>
      </c>
      <c r="Q9" s="102" t="s">
        <v>33</v>
      </c>
      <c r="R9" s="102" t="s">
        <v>34</v>
      </c>
      <c r="S9" s="102" t="s">
        <v>35</v>
      </c>
      <c r="T9" s="102" t="s">
        <v>36</v>
      </c>
      <c r="U9" s="102" t="s">
        <v>37</v>
      </c>
      <c r="V9" s="102" t="s">
        <v>38</v>
      </c>
      <c r="W9" s="83">
        <v>13</v>
      </c>
      <c r="X9" s="102" t="s">
        <v>39</v>
      </c>
      <c r="Y9" s="102" t="s">
        <v>40</v>
      </c>
      <c r="Z9" s="102" t="s">
        <v>41</v>
      </c>
      <c r="AA9" s="83">
        <v>14</v>
      </c>
    </row>
    <row r="10" spans="1:27" x14ac:dyDescent="0.25">
      <c r="A10" s="85">
        <v>1</v>
      </c>
      <c r="B10" s="109"/>
      <c r="C10" s="85">
        <v>1</v>
      </c>
      <c r="D10" s="85">
        <v>61.69</v>
      </c>
      <c r="E10" s="85">
        <f>E20</f>
        <v>94343.554375000007</v>
      </c>
      <c r="F10" s="86">
        <f t="shared" ref="F10:F12" si="0">E10/60</f>
        <v>1572.3925729166699</v>
      </c>
      <c r="G10" s="86">
        <f t="shared" ref="G10:G12" si="1">E10*1.5%</f>
        <v>1415.153315625</v>
      </c>
      <c r="H10" s="85">
        <f t="shared" ref="H10:H12" si="2">E10*0%</f>
        <v>0</v>
      </c>
      <c r="I10" s="86">
        <f t="shared" ref="I10:I12" si="3">F10+G10+H10</f>
        <v>2987.5458885416701</v>
      </c>
      <c r="J10" s="86">
        <f t="shared" ref="J10:J12" si="4">I10*(100%+10.4%)</f>
        <v>3298.2506609500001</v>
      </c>
      <c r="K10" s="86">
        <f t="shared" ref="K10:K12" si="5">J10/12</f>
        <v>274.854221745833</v>
      </c>
      <c r="L10" s="86">
        <f t="shared" ref="L10:L12" si="6">K10*0.7</f>
        <v>192.397955222083</v>
      </c>
      <c r="M10" s="86">
        <f>L10*M8</f>
        <v>153.918364177667</v>
      </c>
      <c r="N10" s="86">
        <f>L10*N8</f>
        <v>173.158159699875</v>
      </c>
      <c r="O10" s="86">
        <f>L10*O8</f>
        <v>192.397955222083</v>
      </c>
      <c r="P10" s="86"/>
      <c r="Q10" s="86"/>
      <c r="R10" s="86"/>
      <c r="S10" s="86"/>
      <c r="T10" s="106"/>
      <c r="U10" s="106"/>
      <c r="V10" s="107">
        <v>53</v>
      </c>
      <c r="W10" s="108">
        <f>K10</f>
        <v>274.854221745833</v>
      </c>
      <c r="X10" s="108">
        <f>M10</f>
        <v>153.918364177667</v>
      </c>
      <c r="Y10" s="108">
        <f t="shared" ref="Y10:Y12" si="7">F10/12</f>
        <v>131.03271440972199</v>
      </c>
      <c r="Z10" s="113">
        <f>(Y10/W10)*100</f>
        <v>47.673531655224998</v>
      </c>
      <c r="AA10" s="114">
        <f>X10*Z10%</f>
        <v>73.378320069444399</v>
      </c>
    </row>
    <row r="11" spans="1:27" x14ac:dyDescent="0.25">
      <c r="A11" s="85">
        <v>2</v>
      </c>
      <c r="B11" s="109"/>
      <c r="C11" s="85">
        <v>2</v>
      </c>
      <c r="D11" s="85"/>
      <c r="E11" s="85">
        <v>1509496.87</v>
      </c>
      <c r="F11" s="86">
        <f t="shared" si="0"/>
        <v>25158.2811666667</v>
      </c>
      <c r="G11" s="86">
        <f t="shared" si="1"/>
        <v>22642.45305</v>
      </c>
      <c r="H11" s="85">
        <f t="shared" si="2"/>
        <v>0</v>
      </c>
      <c r="I11" s="86">
        <f t="shared" si="3"/>
        <v>47800.7342166667</v>
      </c>
      <c r="J11" s="86">
        <f t="shared" si="4"/>
        <v>52772.010575200002</v>
      </c>
      <c r="K11" s="86">
        <f t="shared" si="5"/>
        <v>4397.6675479333298</v>
      </c>
      <c r="L11" s="86">
        <f t="shared" si="6"/>
        <v>3078.3672835533298</v>
      </c>
      <c r="M11" s="86">
        <f>L11*M8</f>
        <v>2462.6938268426702</v>
      </c>
      <c r="N11" s="86">
        <f>L11*N8</f>
        <v>2770.530555198</v>
      </c>
      <c r="O11" s="86">
        <f>L11*O8</f>
        <v>3078.3672835533298</v>
      </c>
      <c r="P11" s="86"/>
      <c r="Q11" s="86"/>
      <c r="R11" s="86"/>
      <c r="S11" s="86"/>
      <c r="T11" s="106"/>
      <c r="U11" s="106"/>
      <c r="V11" s="107">
        <v>73</v>
      </c>
      <c r="W11" s="108">
        <f t="shared" ref="W11:W12" si="8">K11</f>
        <v>4397.6675479333298</v>
      </c>
      <c r="X11" s="108">
        <f t="shared" ref="X11:X12" si="9">M11</f>
        <v>2462.6938268426702</v>
      </c>
      <c r="Y11" s="108">
        <f t="shared" si="7"/>
        <v>2096.52343055556</v>
      </c>
      <c r="Z11" s="113">
        <f t="shared" ref="Z11:Z12" si="10">(Y11/W11)*100</f>
        <v>47.673531655224998</v>
      </c>
      <c r="AA11" s="113">
        <f>X11*Z11%</f>
        <v>1174.0531211111099</v>
      </c>
    </row>
    <row r="12" spans="1:27" x14ac:dyDescent="0.25">
      <c r="A12" s="85">
        <v>3</v>
      </c>
      <c r="B12" s="109"/>
      <c r="C12" s="85"/>
      <c r="D12" s="85"/>
      <c r="E12" s="85">
        <v>1509496.87</v>
      </c>
      <c r="F12" s="86">
        <f t="shared" si="0"/>
        <v>25158.2811666667</v>
      </c>
      <c r="G12" s="86">
        <f t="shared" si="1"/>
        <v>22642.45305</v>
      </c>
      <c r="H12" s="85">
        <f t="shared" si="2"/>
        <v>0</v>
      </c>
      <c r="I12" s="86">
        <f t="shared" si="3"/>
        <v>47800.7342166667</v>
      </c>
      <c r="J12" s="86">
        <f t="shared" si="4"/>
        <v>52772.010575200002</v>
      </c>
      <c r="K12" s="86">
        <f t="shared" si="5"/>
        <v>4397.6675479333298</v>
      </c>
      <c r="L12" s="86">
        <f t="shared" si="6"/>
        <v>3078.3672835533298</v>
      </c>
      <c r="M12" s="86">
        <f>L12*M8</f>
        <v>2462.6938268426702</v>
      </c>
      <c r="N12" s="86">
        <f>L12*N8</f>
        <v>2770.530555198</v>
      </c>
      <c r="O12" s="86">
        <f>L12*O8</f>
        <v>3078.3672835533298</v>
      </c>
      <c r="P12" s="86"/>
      <c r="Q12" s="86"/>
      <c r="R12" s="86"/>
      <c r="S12" s="86"/>
      <c r="T12" s="106"/>
      <c r="U12" s="106"/>
      <c r="V12" s="107"/>
      <c r="W12" s="108">
        <f t="shared" si="8"/>
        <v>4397.6675479333298</v>
      </c>
      <c r="X12" s="108">
        <f t="shared" si="9"/>
        <v>2462.6938268426702</v>
      </c>
      <c r="Y12" s="108">
        <f t="shared" si="7"/>
        <v>2096.52343055556</v>
      </c>
      <c r="Z12" s="113">
        <f t="shared" si="10"/>
        <v>47.673531655224998</v>
      </c>
      <c r="AA12" s="113">
        <f t="shared" ref="AA12" si="11">X12*Z12%</f>
        <v>1174.0531211111099</v>
      </c>
    </row>
    <row r="13" spans="1:27" x14ac:dyDescent="0.25">
      <c r="A13" s="87">
        <v>4</v>
      </c>
      <c r="B13" s="109"/>
      <c r="C13" s="87"/>
      <c r="D13" s="85"/>
      <c r="E13" s="85"/>
      <c r="F13" s="86"/>
      <c r="G13" s="86"/>
      <c r="H13" s="85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106"/>
      <c r="U13" s="106"/>
      <c r="V13" s="109"/>
      <c r="W13" s="109"/>
      <c r="X13" s="109"/>
      <c r="Y13" s="109"/>
      <c r="Z13" s="109"/>
      <c r="AA13" s="109"/>
    </row>
    <row r="14" spans="1:27" x14ac:dyDescent="0.25">
      <c r="A14" s="87">
        <v>5</v>
      </c>
      <c r="B14" s="109"/>
      <c r="C14" s="87"/>
      <c r="D14" s="85"/>
      <c r="E14" s="85"/>
      <c r="F14" s="86"/>
      <c r="G14" s="86"/>
      <c r="H14" s="85"/>
      <c r="I14" s="86"/>
      <c r="J14" s="86"/>
      <c r="K14" s="86">
        <v>274.85000000000002</v>
      </c>
      <c r="L14" s="86"/>
      <c r="M14" s="86"/>
      <c r="N14" s="86"/>
      <c r="O14" s="86"/>
      <c r="P14" s="86"/>
      <c r="Q14" s="86"/>
      <c r="R14" s="86"/>
      <c r="S14" s="86"/>
      <c r="T14" s="106"/>
      <c r="U14" s="106"/>
      <c r="V14" s="109"/>
      <c r="W14" s="108"/>
      <c r="X14" s="108"/>
      <c r="Y14" s="108"/>
      <c r="Z14" s="113"/>
      <c r="AA14" s="114"/>
    </row>
    <row r="15" spans="1:27" x14ac:dyDescent="0.25">
      <c r="A15" s="87">
        <v>6</v>
      </c>
      <c r="B15" s="109"/>
      <c r="C15" s="87"/>
      <c r="D15" s="85"/>
      <c r="E15" s="86"/>
      <c r="F15" s="86"/>
      <c r="G15" s="86"/>
      <c r="H15" s="85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106"/>
      <c r="U15" s="106"/>
      <c r="V15" s="109"/>
      <c r="W15" s="109"/>
      <c r="X15" s="109"/>
      <c r="Y15" s="109"/>
      <c r="Z15" s="113"/>
      <c r="AA15" s="114"/>
    </row>
    <row r="16" spans="1:27" x14ac:dyDescent="0.25">
      <c r="A16" s="85">
        <v>7</v>
      </c>
      <c r="B16" s="109"/>
      <c r="C16" s="85"/>
      <c r="D16" s="85"/>
      <c r="E16" s="85"/>
      <c r="F16" s="85">
        <v>1699.28</v>
      </c>
      <c r="G16" s="85"/>
      <c r="H16" s="85"/>
      <c r="I16" s="85"/>
      <c r="J16" s="85"/>
      <c r="K16" s="85"/>
      <c r="L16" s="85"/>
      <c r="M16" s="86"/>
      <c r="N16" s="85"/>
      <c r="O16" s="86"/>
      <c r="P16" s="86"/>
      <c r="Q16" s="86"/>
      <c r="R16" s="86"/>
      <c r="S16" s="86"/>
      <c r="T16" s="106"/>
      <c r="U16" s="106"/>
      <c r="V16" s="109"/>
      <c r="W16" s="109"/>
      <c r="X16" s="109"/>
      <c r="Y16" s="103"/>
      <c r="Z16" s="113"/>
      <c r="AA16" s="114"/>
    </row>
    <row r="17" spans="1:27" x14ac:dyDescent="0.25">
      <c r="A17" s="85">
        <v>8</v>
      </c>
      <c r="B17" s="109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6"/>
      <c r="N17" s="85"/>
      <c r="O17" s="86"/>
      <c r="P17" s="86"/>
      <c r="Q17" s="86"/>
      <c r="R17" s="86"/>
      <c r="S17" s="86"/>
      <c r="T17" s="106"/>
      <c r="U17" s="106"/>
      <c r="V17" s="109"/>
      <c r="W17" s="109"/>
      <c r="X17" s="109"/>
      <c r="Y17" s="109"/>
      <c r="Z17" s="109"/>
      <c r="AA17" s="109"/>
    </row>
    <row r="18" spans="1:27" x14ac:dyDescent="0.25">
      <c r="A18" s="85">
        <v>9</v>
      </c>
      <c r="B18" s="109"/>
      <c r="C18" s="85"/>
      <c r="D18" s="85"/>
      <c r="E18" s="85"/>
      <c r="F18" s="86"/>
      <c r="G18" s="86"/>
      <c r="H18" s="85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106"/>
      <c r="U18" s="106"/>
      <c r="V18" s="96"/>
      <c r="W18" s="109"/>
      <c r="X18" s="109"/>
      <c r="Y18" s="96"/>
      <c r="Z18" s="109"/>
      <c r="AA18" s="109"/>
    </row>
    <row r="19" spans="1:27" x14ac:dyDescent="0.25">
      <c r="A19" s="115"/>
    </row>
    <row r="20" spans="1:27" x14ac:dyDescent="0.25">
      <c r="A20" s="115"/>
      <c r="E20" s="1">
        <f>E12/16</f>
        <v>94343.554375000007</v>
      </c>
    </row>
    <row r="21" spans="1:27" x14ac:dyDescent="0.25">
      <c r="A21" s="115"/>
      <c r="C21" s="82" t="s">
        <v>42</v>
      </c>
    </row>
    <row r="22" spans="1:27" x14ac:dyDescent="0.25">
      <c r="A22" s="115"/>
    </row>
    <row r="23" spans="1:27" ht="175.15" customHeight="1" x14ac:dyDescent="0.25">
      <c r="A23" s="161" t="s">
        <v>1</v>
      </c>
      <c r="B23" s="161" t="s">
        <v>2</v>
      </c>
      <c r="C23" s="146" t="s">
        <v>3</v>
      </c>
      <c r="D23" s="146" t="s">
        <v>4</v>
      </c>
      <c r="E23" s="146" t="s">
        <v>5</v>
      </c>
      <c r="F23" s="146" t="s">
        <v>6</v>
      </c>
      <c r="G23" s="146" t="s">
        <v>7</v>
      </c>
      <c r="H23" s="146" t="s">
        <v>8</v>
      </c>
      <c r="I23" s="146" t="s">
        <v>9</v>
      </c>
      <c r="J23" s="97" t="s">
        <v>10</v>
      </c>
      <c r="K23" s="146" t="s">
        <v>11</v>
      </c>
      <c r="L23" s="97" t="s">
        <v>12</v>
      </c>
      <c r="M23" s="150" t="s">
        <v>13</v>
      </c>
      <c r="N23" s="151"/>
      <c r="O23" s="152"/>
      <c r="P23" s="146" t="s">
        <v>14</v>
      </c>
      <c r="Q23" s="153" t="s">
        <v>15</v>
      </c>
      <c r="R23" s="154"/>
      <c r="S23" s="154"/>
      <c r="T23" s="155"/>
      <c r="U23" s="148" t="s">
        <v>16</v>
      </c>
      <c r="V23" s="159" t="s">
        <v>17</v>
      </c>
      <c r="W23" s="156" t="s">
        <v>18</v>
      </c>
      <c r="X23" s="157"/>
      <c r="Y23" s="157"/>
      <c r="Z23" s="158"/>
      <c r="AA23" s="144" t="s">
        <v>19</v>
      </c>
    </row>
    <row r="24" spans="1:27" ht="51" x14ac:dyDescent="0.25">
      <c r="A24" s="162"/>
      <c r="B24" s="162"/>
      <c r="C24" s="147"/>
      <c r="D24" s="147"/>
      <c r="E24" s="147"/>
      <c r="F24" s="147"/>
      <c r="G24" s="147"/>
      <c r="H24" s="147"/>
      <c r="I24" s="147"/>
      <c r="J24" s="97">
        <v>10.4</v>
      </c>
      <c r="K24" s="147"/>
      <c r="L24" s="97">
        <v>0.7</v>
      </c>
      <c r="M24" s="98">
        <v>0.8</v>
      </c>
      <c r="N24" s="99">
        <v>0.9</v>
      </c>
      <c r="O24" s="100">
        <v>1</v>
      </c>
      <c r="P24" s="147"/>
      <c r="Q24" s="101">
        <v>0.1</v>
      </c>
      <c r="R24" s="104">
        <v>0.2</v>
      </c>
      <c r="S24" s="104">
        <v>0.3</v>
      </c>
      <c r="T24" s="104">
        <v>0.1</v>
      </c>
      <c r="U24" s="149"/>
      <c r="V24" s="160"/>
      <c r="W24" s="105" t="s">
        <v>20</v>
      </c>
      <c r="X24" s="105" t="s">
        <v>21</v>
      </c>
      <c r="Y24" s="105" t="s">
        <v>22</v>
      </c>
      <c r="Z24" s="105" t="s">
        <v>23</v>
      </c>
      <c r="AA24" s="145"/>
    </row>
    <row r="25" spans="1:27" x14ac:dyDescent="0.25">
      <c r="A25" s="109"/>
      <c r="B25" s="109"/>
      <c r="C25" s="83">
        <v>0</v>
      </c>
      <c r="D25" s="83">
        <v>1</v>
      </c>
      <c r="E25" s="83">
        <v>2</v>
      </c>
      <c r="F25" s="83" t="s">
        <v>24</v>
      </c>
      <c r="G25" s="83" t="s">
        <v>25</v>
      </c>
      <c r="H25" s="83" t="s">
        <v>26</v>
      </c>
      <c r="I25" s="83" t="s">
        <v>27</v>
      </c>
      <c r="J25" s="83" t="s">
        <v>28</v>
      </c>
      <c r="K25" s="83" t="s">
        <v>29</v>
      </c>
      <c r="L25" s="83" t="s">
        <v>30</v>
      </c>
      <c r="M25" s="83" t="s">
        <v>31</v>
      </c>
      <c r="N25" s="83" t="s">
        <v>32</v>
      </c>
      <c r="O25" s="83" t="s">
        <v>32</v>
      </c>
      <c r="P25" s="83">
        <v>10</v>
      </c>
      <c r="Q25" s="102" t="s">
        <v>33</v>
      </c>
      <c r="R25" s="102" t="s">
        <v>34</v>
      </c>
      <c r="S25" s="102" t="s">
        <v>35</v>
      </c>
      <c r="T25" s="102" t="s">
        <v>36</v>
      </c>
      <c r="U25" s="102" t="s">
        <v>37</v>
      </c>
      <c r="V25" s="102" t="s">
        <v>38</v>
      </c>
      <c r="W25" s="83">
        <v>13</v>
      </c>
      <c r="X25" s="102" t="s">
        <v>39</v>
      </c>
      <c r="Y25" s="102" t="s">
        <v>40</v>
      </c>
      <c r="Z25" s="102" t="s">
        <v>41</v>
      </c>
      <c r="AA25" s="83">
        <v>14</v>
      </c>
    </row>
    <row r="26" spans="1:27" x14ac:dyDescent="0.25">
      <c r="A26" s="85">
        <v>1</v>
      </c>
      <c r="B26" s="109"/>
      <c r="C26" s="91"/>
      <c r="D26" s="91"/>
      <c r="E26" s="91">
        <v>1509496.87</v>
      </c>
      <c r="F26" s="92">
        <f t="shared" ref="F26:F30" si="12">E26/60</f>
        <v>25158.2811666667</v>
      </c>
      <c r="G26" s="92">
        <f t="shared" ref="G26:G30" si="13">E26*1.5%</f>
        <v>22642.45305</v>
      </c>
      <c r="H26" s="92">
        <f t="shared" ref="H26:H30" si="14">E26*0.5%</f>
        <v>7547.4843499999997</v>
      </c>
      <c r="I26" s="92">
        <f t="shared" ref="I26:I30" si="15">F26+G26+H26</f>
        <v>55348.218566666699</v>
      </c>
      <c r="J26" s="92">
        <f t="shared" ref="J26:J29" si="16">I26*(100%+10.4%)</f>
        <v>61104.433297600001</v>
      </c>
      <c r="K26" s="92">
        <f t="shared" ref="K26:K33" si="17">J26/12</f>
        <v>5092.0361081333303</v>
      </c>
      <c r="L26" s="92">
        <f>K26*L24</f>
        <v>3564.4252756933301</v>
      </c>
      <c r="M26" s="86">
        <f>L26*M24</f>
        <v>2851.5402205546702</v>
      </c>
      <c r="N26" s="86">
        <f>L26*N24</f>
        <v>3207.982748124</v>
      </c>
      <c r="O26" s="86">
        <f>L26*O24</f>
        <v>3564.4252756933301</v>
      </c>
      <c r="P26" s="86"/>
      <c r="Q26" s="86"/>
      <c r="R26" s="86"/>
      <c r="S26" s="86"/>
      <c r="T26" s="106"/>
      <c r="U26" s="106"/>
      <c r="V26" s="107">
        <v>53</v>
      </c>
      <c r="W26" s="108">
        <f>K26</f>
        <v>5092.0361081333303</v>
      </c>
      <c r="X26" s="108">
        <f>M26</f>
        <v>2851.5402205546702</v>
      </c>
      <c r="Y26" s="108">
        <f>F26/12</f>
        <v>2096.52343055556</v>
      </c>
      <c r="Z26" s="113">
        <f>(Y26/W26)*100</f>
        <v>41.172595520421602</v>
      </c>
      <c r="AA26" s="114">
        <f>X26*Z26%</f>
        <v>1174.0531211111099</v>
      </c>
    </row>
    <row r="27" spans="1:27" x14ac:dyDescent="0.25">
      <c r="A27" s="85">
        <v>2</v>
      </c>
      <c r="B27" s="109"/>
      <c r="C27" s="91"/>
      <c r="D27" s="91"/>
      <c r="E27" s="91">
        <v>1509496.87</v>
      </c>
      <c r="F27" s="92">
        <f t="shared" si="12"/>
        <v>25158.2811666667</v>
      </c>
      <c r="G27" s="92">
        <f t="shared" si="13"/>
        <v>22642.45305</v>
      </c>
      <c r="H27" s="92">
        <f t="shared" si="14"/>
        <v>7547.4843499999997</v>
      </c>
      <c r="I27" s="92">
        <f t="shared" si="15"/>
        <v>55348.218566666699</v>
      </c>
      <c r="J27" s="92">
        <f t="shared" si="16"/>
        <v>61104.433297600001</v>
      </c>
      <c r="K27" s="92">
        <f t="shared" si="17"/>
        <v>5092.0361081333303</v>
      </c>
      <c r="L27" s="92">
        <f>K27*L24</f>
        <v>3564.4252756933301</v>
      </c>
      <c r="M27" s="92">
        <f>L27*M24</f>
        <v>2851.5402205546702</v>
      </c>
      <c r="N27" s="92">
        <f>L27*N24</f>
        <v>3207.982748124</v>
      </c>
      <c r="O27" s="103">
        <f>L27*O24</f>
        <v>3564.4252756933301</v>
      </c>
      <c r="P27" s="103"/>
      <c r="Q27" s="103"/>
      <c r="R27" s="103"/>
      <c r="S27" s="103"/>
      <c r="T27" s="106">
        <f t="shared" ref="T27:T28" si="18">(M27/12)-(10%)</f>
        <v>237.52835171288899</v>
      </c>
      <c r="U27" s="106"/>
      <c r="V27" s="109"/>
      <c r="W27" s="108">
        <f t="shared" ref="W27:W34" si="19">K27</f>
        <v>5092.0361081333303</v>
      </c>
      <c r="X27" s="108">
        <f t="shared" ref="X27:X34" si="20">M27</f>
        <v>2851.5402205546702</v>
      </c>
      <c r="Y27" s="108">
        <f t="shared" ref="Y27:Y34" si="21">F27/12</f>
        <v>2096.52343055556</v>
      </c>
      <c r="Z27" s="113">
        <f t="shared" ref="Z27:Z34" si="22">(Y27/W27)*100</f>
        <v>41.172595520421602</v>
      </c>
      <c r="AA27" s="114">
        <f t="shared" ref="AA27:AA34" si="23">X27*Z27%</f>
        <v>1174.0531211111099</v>
      </c>
    </row>
    <row r="28" spans="1:27" ht="51" x14ac:dyDescent="0.25">
      <c r="A28" s="85">
        <v>3</v>
      </c>
      <c r="B28" s="109"/>
      <c r="C28" s="93" t="s">
        <v>43</v>
      </c>
      <c r="D28" s="91">
        <v>58</v>
      </c>
      <c r="E28" s="91">
        <v>70207</v>
      </c>
      <c r="F28" s="92">
        <f t="shared" si="12"/>
        <v>1170.11666666667</v>
      </c>
      <c r="G28" s="92">
        <f t="shared" si="13"/>
        <v>1053.105</v>
      </c>
      <c r="H28" s="92">
        <f t="shared" si="14"/>
        <v>351.03500000000003</v>
      </c>
      <c r="I28" s="92">
        <f t="shared" si="15"/>
        <v>2574.2566666666698</v>
      </c>
      <c r="J28" s="92">
        <f t="shared" ref="J28:J33" si="24">I28*(100%+1.5%)</f>
        <v>2612.87051666667</v>
      </c>
      <c r="K28" s="92">
        <f t="shared" si="17"/>
        <v>217.739209722222</v>
      </c>
      <c r="L28" s="92">
        <f>K28*L24</f>
        <v>152.41744680555499</v>
      </c>
      <c r="M28" s="92">
        <f>L28*M24</f>
        <v>121.933957444444</v>
      </c>
      <c r="N28" s="92">
        <f>L28*N24</f>
        <v>137.17570212499999</v>
      </c>
      <c r="O28" s="103">
        <f>L28*O24</f>
        <v>152.41744680555499</v>
      </c>
      <c r="P28" s="103"/>
      <c r="Q28" s="103"/>
      <c r="R28" s="103"/>
      <c r="S28" s="103"/>
      <c r="T28" s="106">
        <f t="shared" si="18"/>
        <v>10.0611631203704</v>
      </c>
      <c r="U28" s="106"/>
      <c r="V28" s="109"/>
      <c r="W28" s="108">
        <f t="shared" si="19"/>
        <v>217.739209722222</v>
      </c>
      <c r="X28" s="108">
        <f t="shared" si="20"/>
        <v>121.933957444444</v>
      </c>
      <c r="Y28" s="108">
        <f t="shared" si="21"/>
        <v>97.509722222222194</v>
      </c>
      <c r="Z28" s="113">
        <f t="shared" si="22"/>
        <v>44.782803403493098</v>
      </c>
      <c r="AA28" s="114">
        <f t="shared" si="23"/>
        <v>54.605444444444402</v>
      </c>
    </row>
    <row r="29" spans="1:27" ht="25.5" x14ac:dyDescent="0.25">
      <c r="A29" s="87">
        <v>4</v>
      </c>
      <c r="B29" s="109"/>
      <c r="C29" s="93" t="s">
        <v>44</v>
      </c>
      <c r="D29" s="91">
        <v>58</v>
      </c>
      <c r="E29" s="91">
        <v>70207</v>
      </c>
      <c r="F29" s="92">
        <f t="shared" si="12"/>
        <v>1170.11666666667</v>
      </c>
      <c r="G29" s="92">
        <f t="shared" si="13"/>
        <v>1053.105</v>
      </c>
      <c r="H29" s="92">
        <f t="shared" si="14"/>
        <v>351.03500000000003</v>
      </c>
      <c r="I29" s="92">
        <f t="shared" si="15"/>
        <v>2574.2566666666698</v>
      </c>
      <c r="J29" s="92">
        <f t="shared" si="16"/>
        <v>2841.9793599999998</v>
      </c>
      <c r="K29" s="92">
        <f t="shared" si="17"/>
        <v>236.831613333333</v>
      </c>
      <c r="L29" s="92">
        <f>K29*L24</f>
        <v>165.78212933333299</v>
      </c>
      <c r="M29" s="92">
        <f>L29*M24</f>
        <v>132.62570346666701</v>
      </c>
      <c r="N29" s="92">
        <f>L29*N24</f>
        <v>149.2039164</v>
      </c>
      <c r="O29" s="103">
        <f>L29*O24</f>
        <v>165.78212933333299</v>
      </c>
      <c r="P29" s="103"/>
      <c r="Q29" s="103"/>
      <c r="R29" s="103"/>
      <c r="S29" s="103"/>
      <c r="T29" s="106"/>
      <c r="U29" s="106"/>
      <c r="V29" s="109"/>
      <c r="W29" s="108">
        <f t="shared" si="19"/>
        <v>236.831613333333</v>
      </c>
      <c r="X29" s="108">
        <f t="shared" si="20"/>
        <v>132.62570346666701</v>
      </c>
      <c r="Y29" s="108">
        <f t="shared" si="21"/>
        <v>97.509722222222194</v>
      </c>
      <c r="Z29" s="113">
        <f t="shared" si="22"/>
        <v>41.172595520421602</v>
      </c>
      <c r="AA29" s="114">
        <f t="shared" si="23"/>
        <v>54.605444444444402</v>
      </c>
    </row>
    <row r="30" spans="1:27" ht="25.5" x14ac:dyDescent="0.25">
      <c r="A30" s="87">
        <v>5</v>
      </c>
      <c r="B30" s="109"/>
      <c r="C30" s="93" t="s">
        <v>45</v>
      </c>
      <c r="D30" s="91"/>
      <c r="E30" s="92">
        <f>E25/D25</f>
        <v>2</v>
      </c>
      <c r="F30" s="92">
        <f t="shared" si="12"/>
        <v>3.3333333333333298E-2</v>
      </c>
      <c r="G30" s="92">
        <f t="shared" si="13"/>
        <v>0.03</v>
      </c>
      <c r="H30" s="92">
        <f t="shared" si="14"/>
        <v>0.01</v>
      </c>
      <c r="I30" s="92">
        <f t="shared" si="15"/>
        <v>7.3333333333333306E-2</v>
      </c>
      <c r="J30" s="92">
        <f t="shared" si="24"/>
        <v>7.4433333333333296E-2</v>
      </c>
      <c r="K30" s="92">
        <f t="shared" si="17"/>
        <v>6.2027777777777801E-3</v>
      </c>
      <c r="L30" s="92">
        <f>K30*L24</f>
        <v>4.3419444444444399E-3</v>
      </c>
      <c r="M30" s="92">
        <f>L30*M24</f>
        <v>3.47355555555555E-3</v>
      </c>
      <c r="N30" s="92">
        <f>L30*N24</f>
        <v>3.9077499999999998E-3</v>
      </c>
      <c r="O30" s="103">
        <f>L30*O24</f>
        <v>4.3419444444444399E-3</v>
      </c>
      <c r="P30" s="103"/>
      <c r="Q30" s="103"/>
      <c r="R30" s="103"/>
      <c r="S30" s="103"/>
      <c r="T30" s="106"/>
      <c r="U30" s="106"/>
      <c r="V30" s="109"/>
      <c r="W30" s="108">
        <f t="shared" si="19"/>
        <v>6.2027777777777801E-3</v>
      </c>
      <c r="X30" s="108">
        <f t="shared" si="20"/>
        <v>3.47355555555555E-3</v>
      </c>
      <c r="Y30" s="108">
        <f t="shared" si="21"/>
        <v>2.7777777777777801E-3</v>
      </c>
      <c r="Z30" s="113">
        <f t="shared" si="22"/>
        <v>44.782803403493098</v>
      </c>
      <c r="AA30" s="114">
        <f t="shared" si="23"/>
        <v>1.55555555555556E-3</v>
      </c>
    </row>
    <row r="31" spans="1:27" x14ac:dyDescent="0.25">
      <c r="A31" s="87">
        <v>6</v>
      </c>
      <c r="B31" s="109"/>
      <c r="C31" s="91"/>
      <c r="D31" s="91"/>
      <c r="E31" s="91"/>
      <c r="F31" s="91"/>
      <c r="G31" s="91"/>
      <c r="H31" s="91"/>
      <c r="I31" s="91"/>
      <c r="J31" s="91">
        <v>1.5</v>
      </c>
      <c r="K31" s="92">
        <f t="shared" si="17"/>
        <v>0.125</v>
      </c>
      <c r="L31" s="92">
        <f>K31*L24</f>
        <v>8.7499999999999994E-2</v>
      </c>
      <c r="M31" s="92">
        <f>L31*M24</f>
        <v>7.0000000000000007E-2</v>
      </c>
      <c r="N31" s="92">
        <f>L31*N24</f>
        <v>7.8750000000000001E-2</v>
      </c>
      <c r="O31" s="103">
        <f>L31*O24</f>
        <v>8.7499999999999994E-2</v>
      </c>
      <c r="P31" s="103"/>
      <c r="Q31" s="103"/>
      <c r="R31" s="103"/>
      <c r="S31" s="103"/>
      <c r="T31" s="106"/>
      <c r="U31" s="106"/>
      <c r="V31" s="109"/>
      <c r="W31" s="108">
        <f t="shared" si="19"/>
        <v>0.125</v>
      </c>
      <c r="X31" s="108">
        <f t="shared" si="20"/>
        <v>7.0000000000000007E-2</v>
      </c>
      <c r="Y31" s="108">
        <f t="shared" si="21"/>
        <v>0</v>
      </c>
      <c r="Z31" s="113">
        <f t="shared" si="22"/>
        <v>0</v>
      </c>
      <c r="AA31" s="114">
        <f t="shared" si="23"/>
        <v>0</v>
      </c>
    </row>
    <row r="32" spans="1:27" x14ac:dyDescent="0.25">
      <c r="A32" s="85">
        <v>7</v>
      </c>
      <c r="B32" s="109"/>
      <c r="C32" s="91"/>
      <c r="D32" s="91"/>
      <c r="E32" s="91"/>
      <c r="F32" s="91"/>
      <c r="G32" s="91"/>
      <c r="H32" s="91"/>
      <c r="I32" s="91"/>
      <c r="J32" s="91"/>
      <c r="K32" s="92">
        <f t="shared" si="17"/>
        <v>0</v>
      </c>
      <c r="L32" s="92">
        <f>K32*L24</f>
        <v>0</v>
      </c>
      <c r="M32" s="92">
        <f>L32*M24</f>
        <v>0</v>
      </c>
      <c r="N32" s="92">
        <f>L32*N24</f>
        <v>0</v>
      </c>
      <c r="O32" s="103">
        <f>L32*O24</f>
        <v>0</v>
      </c>
      <c r="P32" s="103"/>
      <c r="Q32" s="103"/>
      <c r="R32" s="103"/>
      <c r="S32" s="103"/>
      <c r="T32" s="106"/>
      <c r="U32" s="106"/>
      <c r="V32" s="109"/>
      <c r="W32" s="108">
        <f t="shared" si="19"/>
        <v>0</v>
      </c>
      <c r="X32" s="108">
        <f t="shared" si="20"/>
        <v>0</v>
      </c>
      <c r="Y32" s="108">
        <f t="shared" si="21"/>
        <v>0</v>
      </c>
      <c r="Z32" s="113" t="e">
        <f t="shared" si="22"/>
        <v>#DIV/0!</v>
      </c>
      <c r="AA32" s="114" t="e">
        <f t="shared" si="23"/>
        <v>#DIV/0!</v>
      </c>
    </row>
    <row r="33" spans="3:27" x14ac:dyDescent="0.25">
      <c r="C33" s="91"/>
      <c r="D33" s="91">
        <v>1585</v>
      </c>
      <c r="E33" s="91">
        <v>1509496.87</v>
      </c>
      <c r="F33" s="92">
        <f>E33/60</f>
        <v>25158.2811666667</v>
      </c>
      <c r="G33" s="92">
        <f>E33*1.5%</f>
        <v>22642.45305</v>
      </c>
      <c r="H33" s="91">
        <f>E33*0.5%</f>
        <v>7547.4843499999997</v>
      </c>
      <c r="I33" s="92">
        <f>F33+G33+H33</f>
        <v>55348.218566666699</v>
      </c>
      <c r="J33" s="92">
        <f t="shared" si="24"/>
        <v>56178.441845166701</v>
      </c>
      <c r="K33" s="92">
        <f t="shared" si="17"/>
        <v>4681.5368204305596</v>
      </c>
      <c r="L33" s="92">
        <f>K33*L24</f>
        <v>3277.0757743013901</v>
      </c>
      <c r="M33" s="92">
        <f>L33*M24</f>
        <v>2621.6606194411102</v>
      </c>
      <c r="N33" s="92">
        <f>L33*N24</f>
        <v>2949.3681968712499</v>
      </c>
      <c r="O33" s="103">
        <f>L33*O24</f>
        <v>3277.0757743013901</v>
      </c>
      <c r="P33" s="103"/>
      <c r="Q33" s="103"/>
      <c r="R33" s="103"/>
      <c r="S33" s="103"/>
      <c r="T33" s="106"/>
      <c r="U33" s="106"/>
      <c r="V33" s="111"/>
      <c r="W33" s="108">
        <f t="shared" si="19"/>
        <v>4681.5368204305596</v>
      </c>
      <c r="X33" s="108">
        <f t="shared" si="20"/>
        <v>2621.6606194411102</v>
      </c>
      <c r="Y33" s="108">
        <f t="shared" si="21"/>
        <v>2096.52343055556</v>
      </c>
      <c r="Z33" s="113">
        <f t="shared" si="22"/>
        <v>44.782803403493098</v>
      </c>
      <c r="AA33" s="114">
        <f t="shared" si="23"/>
        <v>1174.0531211111099</v>
      </c>
    </row>
    <row r="34" spans="3:27" x14ac:dyDescent="0.25"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86"/>
      <c r="U34" s="86"/>
      <c r="V34" s="109"/>
      <c r="W34" s="108">
        <f t="shared" si="19"/>
        <v>0</v>
      </c>
      <c r="X34" s="108">
        <f t="shared" si="20"/>
        <v>0</v>
      </c>
      <c r="Y34" s="108">
        <f t="shared" si="21"/>
        <v>0</v>
      </c>
      <c r="Z34" s="113" t="e">
        <f t="shared" si="22"/>
        <v>#DIV/0!</v>
      </c>
      <c r="AA34" s="114" t="e">
        <f t="shared" si="23"/>
        <v>#DIV/0!</v>
      </c>
    </row>
    <row r="35" spans="3:27" x14ac:dyDescent="0.2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</row>
    <row r="36" spans="3:27" x14ac:dyDescent="0.25"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</row>
  </sheetData>
  <mergeCells count="34">
    <mergeCell ref="A7:A8"/>
    <mergeCell ref="A23:A24"/>
    <mergeCell ref="B7:B8"/>
    <mergeCell ref="B23:B24"/>
    <mergeCell ref="C7:C8"/>
    <mergeCell ref="C23:C24"/>
    <mergeCell ref="D7:D8"/>
    <mergeCell ref="D23:D24"/>
    <mergeCell ref="E7:E8"/>
    <mergeCell ref="E23:E24"/>
    <mergeCell ref="F7:F8"/>
    <mergeCell ref="F23:F24"/>
    <mergeCell ref="G7:G8"/>
    <mergeCell ref="G23:G24"/>
    <mergeCell ref="H7:H8"/>
    <mergeCell ref="H23:H24"/>
    <mergeCell ref="I7:I8"/>
    <mergeCell ref="I23:I24"/>
    <mergeCell ref="AA7:AA8"/>
    <mergeCell ref="AA23:AA24"/>
    <mergeCell ref="K7:K8"/>
    <mergeCell ref="K23:K24"/>
    <mergeCell ref="P7:P8"/>
    <mergeCell ref="P23:P24"/>
    <mergeCell ref="U7:U8"/>
    <mergeCell ref="U23:U24"/>
    <mergeCell ref="M7:O7"/>
    <mergeCell ref="Q7:T7"/>
    <mergeCell ref="W7:Z7"/>
    <mergeCell ref="M23:O23"/>
    <mergeCell ref="Q23:T23"/>
    <mergeCell ref="W23:Z23"/>
    <mergeCell ref="V7:V8"/>
    <mergeCell ref="V23:V24"/>
  </mergeCells>
  <pageMargins left="0.75" right="0.75" top="0.97916666666666696" bottom="0.97916666666666696" header="0.50902777777777797" footer="0.50902777777777797"/>
  <pageSetup paperSize="256" fitToWidth="0" fitToHeight="0" orientation="portrait" useFirstPageNumber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34"/>
  <sheetViews>
    <sheetView zoomScale="70" zoomScaleNormal="70" workbookViewId="0">
      <selection activeCell="B7" sqref="B7:Z9"/>
    </sheetView>
  </sheetViews>
  <sheetFormatPr defaultColWidth="9.140625" defaultRowHeight="12.75" x14ac:dyDescent="0.25"/>
  <cols>
    <col min="1" max="1" width="13.7109375" style="1" customWidth="1"/>
    <col min="2" max="2" width="9.140625" style="1"/>
    <col min="3" max="3" width="9.5703125" style="1"/>
    <col min="4" max="4" width="16.85546875" style="1" customWidth="1"/>
    <col min="5" max="5" width="13.28515625" style="1" customWidth="1"/>
    <col min="6" max="6" width="10.28515625" style="1" customWidth="1"/>
    <col min="7" max="7" width="10.5703125" style="1" customWidth="1"/>
    <col min="8" max="8" width="10.140625" style="1"/>
    <col min="9" max="9" width="12.5703125" style="1" customWidth="1"/>
    <col min="10" max="10" width="9.140625" style="1"/>
    <col min="11" max="11" width="12.7109375" style="1" customWidth="1"/>
    <col min="12" max="12" width="11.42578125" style="1" customWidth="1"/>
    <col min="13" max="13" width="10.42578125" style="1" customWidth="1"/>
    <col min="14" max="15" width="12.28515625" style="1" customWidth="1"/>
    <col min="16" max="16" width="7.28515625" style="1" customWidth="1"/>
    <col min="17" max="17" width="7" style="1" customWidth="1"/>
    <col min="18" max="18" width="6.28515625" style="1" customWidth="1"/>
    <col min="19" max="20" width="7" style="1" customWidth="1"/>
    <col min="21" max="22" width="9.140625" style="1"/>
    <col min="23" max="23" width="9.85546875" style="1" customWidth="1"/>
    <col min="24" max="24" width="10.85546875" style="1" customWidth="1"/>
    <col min="25" max="25" width="10.5703125" style="1" customWidth="1"/>
    <col min="26" max="263" width="9.140625" style="1"/>
    <col min="264" max="264" width="11.28515625" style="1" customWidth="1"/>
    <col min="265" max="265" width="13.28515625" style="1" customWidth="1"/>
    <col min="266" max="266" width="10.7109375" style="1" customWidth="1"/>
    <col min="267" max="267" width="9.5703125" style="1" customWidth="1"/>
    <col min="268" max="269" width="9.140625" style="1"/>
    <col min="270" max="270" width="12.7109375" style="1" customWidth="1"/>
    <col min="271" max="271" width="10.7109375" style="1" customWidth="1"/>
    <col min="272" max="272" width="12.5703125" style="1" customWidth="1"/>
    <col min="273" max="273" width="9.140625" style="1"/>
    <col min="274" max="274" width="11" style="1" customWidth="1"/>
    <col min="275" max="275" width="10.85546875" style="1" customWidth="1"/>
    <col min="276" max="519" width="9.140625" style="1"/>
    <col min="520" max="520" width="11.28515625" style="1" customWidth="1"/>
    <col min="521" max="521" width="13.28515625" style="1" customWidth="1"/>
    <col min="522" max="522" width="10.7109375" style="1" customWidth="1"/>
    <col min="523" max="523" width="9.5703125" style="1" customWidth="1"/>
    <col min="524" max="525" width="9.140625" style="1"/>
    <col min="526" max="526" width="12.7109375" style="1" customWidth="1"/>
    <col min="527" max="527" width="10.7109375" style="1" customWidth="1"/>
    <col min="528" max="528" width="12.5703125" style="1" customWidth="1"/>
    <col min="529" max="529" width="9.140625" style="1"/>
    <col min="530" max="530" width="11" style="1" customWidth="1"/>
    <col min="531" max="531" width="10.85546875" style="1" customWidth="1"/>
    <col min="532" max="775" width="9.140625" style="1"/>
    <col min="776" max="776" width="11.28515625" style="1" customWidth="1"/>
    <col min="777" max="777" width="13.28515625" style="1" customWidth="1"/>
    <col min="778" max="778" width="10.7109375" style="1" customWidth="1"/>
    <col min="779" max="779" width="9.5703125" style="1" customWidth="1"/>
    <col min="780" max="781" width="9.140625" style="1"/>
    <col min="782" max="782" width="12.7109375" style="1" customWidth="1"/>
    <col min="783" max="783" width="10.7109375" style="1" customWidth="1"/>
    <col min="784" max="784" width="12.5703125" style="1" customWidth="1"/>
    <col min="785" max="785" width="9.140625" style="1"/>
    <col min="786" max="786" width="11" style="1" customWidth="1"/>
    <col min="787" max="787" width="10.85546875" style="1" customWidth="1"/>
    <col min="788" max="1031" width="9.140625" style="1"/>
    <col min="1032" max="1032" width="11.28515625" style="1" customWidth="1"/>
    <col min="1033" max="1033" width="13.28515625" style="1" customWidth="1"/>
    <col min="1034" max="1034" width="10.7109375" style="1" customWidth="1"/>
    <col min="1035" max="1035" width="9.5703125" style="1" customWidth="1"/>
    <col min="1036" max="1037" width="9.140625" style="1"/>
    <col min="1038" max="1038" width="12.7109375" style="1" customWidth="1"/>
    <col min="1039" max="1039" width="10.7109375" style="1" customWidth="1"/>
    <col min="1040" max="1040" width="12.5703125" style="1" customWidth="1"/>
    <col min="1041" max="1041" width="9.140625" style="1"/>
    <col min="1042" max="1042" width="11" style="1" customWidth="1"/>
    <col min="1043" max="1043" width="10.85546875" style="1" customWidth="1"/>
    <col min="1044" max="1287" width="9.140625" style="1"/>
    <col min="1288" max="1288" width="11.28515625" style="1" customWidth="1"/>
    <col min="1289" max="1289" width="13.28515625" style="1" customWidth="1"/>
    <col min="1290" max="1290" width="10.7109375" style="1" customWidth="1"/>
    <col min="1291" max="1291" width="9.5703125" style="1" customWidth="1"/>
    <col min="1292" max="1293" width="9.140625" style="1"/>
    <col min="1294" max="1294" width="12.7109375" style="1" customWidth="1"/>
    <col min="1295" max="1295" width="10.7109375" style="1" customWidth="1"/>
    <col min="1296" max="1296" width="12.5703125" style="1" customWidth="1"/>
    <col min="1297" max="1297" width="9.140625" style="1"/>
    <col min="1298" max="1298" width="11" style="1" customWidth="1"/>
    <col min="1299" max="1299" width="10.85546875" style="1" customWidth="1"/>
    <col min="1300" max="1543" width="9.140625" style="1"/>
    <col min="1544" max="1544" width="11.28515625" style="1" customWidth="1"/>
    <col min="1545" max="1545" width="13.28515625" style="1" customWidth="1"/>
    <col min="1546" max="1546" width="10.7109375" style="1" customWidth="1"/>
    <col min="1547" max="1547" width="9.5703125" style="1" customWidth="1"/>
    <col min="1548" max="1549" width="9.140625" style="1"/>
    <col min="1550" max="1550" width="12.7109375" style="1" customWidth="1"/>
    <col min="1551" max="1551" width="10.7109375" style="1" customWidth="1"/>
    <col min="1552" max="1552" width="12.5703125" style="1" customWidth="1"/>
    <col min="1553" max="1553" width="9.140625" style="1"/>
    <col min="1554" max="1554" width="11" style="1" customWidth="1"/>
    <col min="1555" max="1555" width="10.85546875" style="1" customWidth="1"/>
    <col min="1556" max="1799" width="9.140625" style="1"/>
    <col min="1800" max="1800" width="11.28515625" style="1" customWidth="1"/>
    <col min="1801" max="1801" width="13.28515625" style="1" customWidth="1"/>
    <col min="1802" max="1802" width="10.7109375" style="1" customWidth="1"/>
    <col min="1803" max="1803" width="9.5703125" style="1" customWidth="1"/>
    <col min="1804" max="1805" width="9.140625" style="1"/>
    <col min="1806" max="1806" width="12.7109375" style="1" customWidth="1"/>
    <col min="1807" max="1807" width="10.7109375" style="1" customWidth="1"/>
    <col min="1808" max="1808" width="12.5703125" style="1" customWidth="1"/>
    <col min="1809" max="1809" width="9.140625" style="1"/>
    <col min="1810" max="1810" width="11" style="1" customWidth="1"/>
    <col min="1811" max="1811" width="10.85546875" style="1" customWidth="1"/>
    <col min="1812" max="2055" width="9.140625" style="1"/>
    <col min="2056" max="2056" width="11.28515625" style="1" customWidth="1"/>
    <col min="2057" max="2057" width="13.28515625" style="1" customWidth="1"/>
    <col min="2058" max="2058" width="10.7109375" style="1" customWidth="1"/>
    <col min="2059" max="2059" width="9.5703125" style="1" customWidth="1"/>
    <col min="2060" max="2061" width="9.140625" style="1"/>
    <col min="2062" max="2062" width="12.7109375" style="1" customWidth="1"/>
    <col min="2063" max="2063" width="10.7109375" style="1" customWidth="1"/>
    <col min="2064" max="2064" width="12.5703125" style="1" customWidth="1"/>
    <col min="2065" max="2065" width="9.140625" style="1"/>
    <col min="2066" max="2066" width="11" style="1" customWidth="1"/>
    <col min="2067" max="2067" width="10.85546875" style="1" customWidth="1"/>
    <col min="2068" max="2311" width="9.140625" style="1"/>
    <col min="2312" max="2312" width="11.28515625" style="1" customWidth="1"/>
    <col min="2313" max="2313" width="13.28515625" style="1" customWidth="1"/>
    <col min="2314" max="2314" width="10.7109375" style="1" customWidth="1"/>
    <col min="2315" max="2315" width="9.5703125" style="1" customWidth="1"/>
    <col min="2316" max="2317" width="9.140625" style="1"/>
    <col min="2318" max="2318" width="12.7109375" style="1" customWidth="1"/>
    <col min="2319" max="2319" width="10.7109375" style="1" customWidth="1"/>
    <col min="2320" max="2320" width="12.5703125" style="1" customWidth="1"/>
    <col min="2321" max="2321" width="9.140625" style="1"/>
    <col min="2322" max="2322" width="11" style="1" customWidth="1"/>
    <col min="2323" max="2323" width="10.85546875" style="1" customWidth="1"/>
    <col min="2324" max="2567" width="9.140625" style="1"/>
    <col min="2568" max="2568" width="11.28515625" style="1" customWidth="1"/>
    <col min="2569" max="2569" width="13.28515625" style="1" customWidth="1"/>
    <col min="2570" max="2570" width="10.7109375" style="1" customWidth="1"/>
    <col min="2571" max="2571" width="9.5703125" style="1" customWidth="1"/>
    <col min="2572" max="2573" width="9.140625" style="1"/>
    <col min="2574" max="2574" width="12.7109375" style="1" customWidth="1"/>
    <col min="2575" max="2575" width="10.7109375" style="1" customWidth="1"/>
    <col min="2576" max="2576" width="12.5703125" style="1" customWidth="1"/>
    <col min="2577" max="2577" width="9.140625" style="1"/>
    <col min="2578" max="2578" width="11" style="1" customWidth="1"/>
    <col min="2579" max="2579" width="10.85546875" style="1" customWidth="1"/>
    <col min="2580" max="2823" width="9.140625" style="1"/>
    <col min="2824" max="2824" width="11.28515625" style="1" customWidth="1"/>
    <col min="2825" max="2825" width="13.28515625" style="1" customWidth="1"/>
    <col min="2826" max="2826" width="10.7109375" style="1" customWidth="1"/>
    <col min="2827" max="2827" width="9.5703125" style="1" customWidth="1"/>
    <col min="2828" max="2829" width="9.140625" style="1"/>
    <col min="2830" max="2830" width="12.7109375" style="1" customWidth="1"/>
    <col min="2831" max="2831" width="10.7109375" style="1" customWidth="1"/>
    <col min="2832" max="2832" width="12.5703125" style="1" customWidth="1"/>
    <col min="2833" max="2833" width="9.140625" style="1"/>
    <col min="2834" max="2834" width="11" style="1" customWidth="1"/>
    <col min="2835" max="2835" width="10.85546875" style="1" customWidth="1"/>
    <col min="2836" max="3079" width="9.140625" style="1"/>
    <col min="3080" max="3080" width="11.28515625" style="1" customWidth="1"/>
    <col min="3081" max="3081" width="13.28515625" style="1" customWidth="1"/>
    <col min="3082" max="3082" width="10.7109375" style="1" customWidth="1"/>
    <col min="3083" max="3083" width="9.5703125" style="1" customWidth="1"/>
    <col min="3084" max="3085" width="9.140625" style="1"/>
    <col min="3086" max="3086" width="12.7109375" style="1" customWidth="1"/>
    <col min="3087" max="3087" width="10.7109375" style="1" customWidth="1"/>
    <col min="3088" max="3088" width="12.5703125" style="1" customWidth="1"/>
    <col min="3089" max="3089" width="9.140625" style="1"/>
    <col min="3090" max="3090" width="11" style="1" customWidth="1"/>
    <col min="3091" max="3091" width="10.85546875" style="1" customWidth="1"/>
    <col min="3092" max="3335" width="9.140625" style="1"/>
    <col min="3336" max="3336" width="11.28515625" style="1" customWidth="1"/>
    <col min="3337" max="3337" width="13.28515625" style="1" customWidth="1"/>
    <col min="3338" max="3338" width="10.7109375" style="1" customWidth="1"/>
    <col min="3339" max="3339" width="9.5703125" style="1" customWidth="1"/>
    <col min="3340" max="3341" width="9.140625" style="1"/>
    <col min="3342" max="3342" width="12.7109375" style="1" customWidth="1"/>
    <col min="3343" max="3343" width="10.7109375" style="1" customWidth="1"/>
    <col min="3344" max="3344" width="12.5703125" style="1" customWidth="1"/>
    <col min="3345" max="3345" width="9.140625" style="1"/>
    <col min="3346" max="3346" width="11" style="1" customWidth="1"/>
    <col min="3347" max="3347" width="10.85546875" style="1" customWidth="1"/>
    <col min="3348" max="3591" width="9.140625" style="1"/>
    <col min="3592" max="3592" width="11.28515625" style="1" customWidth="1"/>
    <col min="3593" max="3593" width="13.28515625" style="1" customWidth="1"/>
    <col min="3594" max="3594" width="10.7109375" style="1" customWidth="1"/>
    <col min="3595" max="3595" width="9.5703125" style="1" customWidth="1"/>
    <col min="3596" max="3597" width="9.140625" style="1"/>
    <col min="3598" max="3598" width="12.7109375" style="1" customWidth="1"/>
    <col min="3599" max="3599" width="10.7109375" style="1" customWidth="1"/>
    <col min="3600" max="3600" width="12.5703125" style="1" customWidth="1"/>
    <col min="3601" max="3601" width="9.140625" style="1"/>
    <col min="3602" max="3602" width="11" style="1" customWidth="1"/>
    <col min="3603" max="3603" width="10.85546875" style="1" customWidth="1"/>
    <col min="3604" max="3847" width="9.140625" style="1"/>
    <col min="3848" max="3848" width="11.28515625" style="1" customWidth="1"/>
    <col min="3849" max="3849" width="13.28515625" style="1" customWidth="1"/>
    <col min="3850" max="3850" width="10.7109375" style="1" customWidth="1"/>
    <col min="3851" max="3851" width="9.5703125" style="1" customWidth="1"/>
    <col min="3852" max="3853" width="9.140625" style="1"/>
    <col min="3854" max="3854" width="12.7109375" style="1" customWidth="1"/>
    <col min="3855" max="3855" width="10.7109375" style="1" customWidth="1"/>
    <col min="3856" max="3856" width="12.5703125" style="1" customWidth="1"/>
    <col min="3857" max="3857" width="9.140625" style="1"/>
    <col min="3858" max="3858" width="11" style="1" customWidth="1"/>
    <col min="3859" max="3859" width="10.85546875" style="1" customWidth="1"/>
    <col min="3860" max="4103" width="9.140625" style="1"/>
    <col min="4104" max="4104" width="11.28515625" style="1" customWidth="1"/>
    <col min="4105" max="4105" width="13.28515625" style="1" customWidth="1"/>
    <col min="4106" max="4106" width="10.7109375" style="1" customWidth="1"/>
    <col min="4107" max="4107" width="9.5703125" style="1" customWidth="1"/>
    <col min="4108" max="4109" width="9.140625" style="1"/>
    <col min="4110" max="4110" width="12.7109375" style="1" customWidth="1"/>
    <col min="4111" max="4111" width="10.7109375" style="1" customWidth="1"/>
    <col min="4112" max="4112" width="12.5703125" style="1" customWidth="1"/>
    <col min="4113" max="4113" width="9.140625" style="1"/>
    <col min="4114" max="4114" width="11" style="1" customWidth="1"/>
    <col min="4115" max="4115" width="10.85546875" style="1" customWidth="1"/>
    <col min="4116" max="4359" width="9.140625" style="1"/>
    <col min="4360" max="4360" width="11.28515625" style="1" customWidth="1"/>
    <col min="4361" max="4361" width="13.28515625" style="1" customWidth="1"/>
    <col min="4362" max="4362" width="10.7109375" style="1" customWidth="1"/>
    <col min="4363" max="4363" width="9.5703125" style="1" customWidth="1"/>
    <col min="4364" max="4365" width="9.140625" style="1"/>
    <col min="4366" max="4366" width="12.7109375" style="1" customWidth="1"/>
    <col min="4367" max="4367" width="10.7109375" style="1" customWidth="1"/>
    <col min="4368" max="4368" width="12.5703125" style="1" customWidth="1"/>
    <col min="4369" max="4369" width="9.140625" style="1"/>
    <col min="4370" max="4370" width="11" style="1" customWidth="1"/>
    <col min="4371" max="4371" width="10.85546875" style="1" customWidth="1"/>
    <col min="4372" max="4615" width="9.140625" style="1"/>
    <col min="4616" max="4616" width="11.28515625" style="1" customWidth="1"/>
    <col min="4617" max="4617" width="13.28515625" style="1" customWidth="1"/>
    <col min="4618" max="4618" width="10.7109375" style="1" customWidth="1"/>
    <col min="4619" max="4619" width="9.5703125" style="1" customWidth="1"/>
    <col min="4620" max="4621" width="9.140625" style="1"/>
    <col min="4622" max="4622" width="12.7109375" style="1" customWidth="1"/>
    <col min="4623" max="4623" width="10.7109375" style="1" customWidth="1"/>
    <col min="4624" max="4624" width="12.5703125" style="1" customWidth="1"/>
    <col min="4625" max="4625" width="9.140625" style="1"/>
    <col min="4626" max="4626" width="11" style="1" customWidth="1"/>
    <col min="4627" max="4627" width="10.85546875" style="1" customWidth="1"/>
    <col min="4628" max="4871" width="9.140625" style="1"/>
    <col min="4872" max="4872" width="11.28515625" style="1" customWidth="1"/>
    <col min="4873" max="4873" width="13.28515625" style="1" customWidth="1"/>
    <col min="4874" max="4874" width="10.7109375" style="1" customWidth="1"/>
    <col min="4875" max="4875" width="9.5703125" style="1" customWidth="1"/>
    <col min="4876" max="4877" width="9.140625" style="1"/>
    <col min="4878" max="4878" width="12.7109375" style="1" customWidth="1"/>
    <col min="4879" max="4879" width="10.7109375" style="1" customWidth="1"/>
    <col min="4880" max="4880" width="12.5703125" style="1" customWidth="1"/>
    <col min="4881" max="4881" width="9.140625" style="1"/>
    <col min="4882" max="4882" width="11" style="1" customWidth="1"/>
    <col min="4883" max="4883" width="10.85546875" style="1" customWidth="1"/>
    <col min="4884" max="5127" width="9.140625" style="1"/>
    <col min="5128" max="5128" width="11.28515625" style="1" customWidth="1"/>
    <col min="5129" max="5129" width="13.28515625" style="1" customWidth="1"/>
    <col min="5130" max="5130" width="10.7109375" style="1" customWidth="1"/>
    <col min="5131" max="5131" width="9.5703125" style="1" customWidth="1"/>
    <col min="5132" max="5133" width="9.140625" style="1"/>
    <col min="5134" max="5134" width="12.7109375" style="1" customWidth="1"/>
    <col min="5135" max="5135" width="10.7109375" style="1" customWidth="1"/>
    <col min="5136" max="5136" width="12.5703125" style="1" customWidth="1"/>
    <col min="5137" max="5137" width="9.140625" style="1"/>
    <col min="5138" max="5138" width="11" style="1" customWidth="1"/>
    <col min="5139" max="5139" width="10.85546875" style="1" customWidth="1"/>
    <col min="5140" max="5383" width="9.140625" style="1"/>
    <col min="5384" max="5384" width="11.28515625" style="1" customWidth="1"/>
    <col min="5385" max="5385" width="13.28515625" style="1" customWidth="1"/>
    <col min="5386" max="5386" width="10.7109375" style="1" customWidth="1"/>
    <col min="5387" max="5387" width="9.5703125" style="1" customWidth="1"/>
    <col min="5388" max="5389" width="9.140625" style="1"/>
    <col min="5390" max="5390" width="12.7109375" style="1" customWidth="1"/>
    <col min="5391" max="5391" width="10.7109375" style="1" customWidth="1"/>
    <col min="5392" max="5392" width="12.5703125" style="1" customWidth="1"/>
    <col min="5393" max="5393" width="9.140625" style="1"/>
    <col min="5394" max="5394" width="11" style="1" customWidth="1"/>
    <col min="5395" max="5395" width="10.85546875" style="1" customWidth="1"/>
    <col min="5396" max="5639" width="9.140625" style="1"/>
    <col min="5640" max="5640" width="11.28515625" style="1" customWidth="1"/>
    <col min="5641" max="5641" width="13.28515625" style="1" customWidth="1"/>
    <col min="5642" max="5642" width="10.7109375" style="1" customWidth="1"/>
    <col min="5643" max="5643" width="9.5703125" style="1" customWidth="1"/>
    <col min="5644" max="5645" width="9.140625" style="1"/>
    <col min="5646" max="5646" width="12.7109375" style="1" customWidth="1"/>
    <col min="5647" max="5647" width="10.7109375" style="1" customWidth="1"/>
    <col min="5648" max="5648" width="12.5703125" style="1" customWidth="1"/>
    <col min="5649" max="5649" width="9.140625" style="1"/>
    <col min="5650" max="5650" width="11" style="1" customWidth="1"/>
    <col min="5651" max="5651" width="10.85546875" style="1" customWidth="1"/>
    <col min="5652" max="5895" width="9.140625" style="1"/>
    <col min="5896" max="5896" width="11.28515625" style="1" customWidth="1"/>
    <col min="5897" max="5897" width="13.28515625" style="1" customWidth="1"/>
    <col min="5898" max="5898" width="10.7109375" style="1" customWidth="1"/>
    <col min="5899" max="5899" width="9.5703125" style="1" customWidth="1"/>
    <col min="5900" max="5901" width="9.140625" style="1"/>
    <col min="5902" max="5902" width="12.7109375" style="1" customWidth="1"/>
    <col min="5903" max="5903" width="10.7109375" style="1" customWidth="1"/>
    <col min="5904" max="5904" width="12.5703125" style="1" customWidth="1"/>
    <col min="5905" max="5905" width="9.140625" style="1"/>
    <col min="5906" max="5906" width="11" style="1" customWidth="1"/>
    <col min="5907" max="5907" width="10.85546875" style="1" customWidth="1"/>
    <col min="5908" max="6151" width="9.140625" style="1"/>
    <col min="6152" max="6152" width="11.28515625" style="1" customWidth="1"/>
    <col min="6153" max="6153" width="13.28515625" style="1" customWidth="1"/>
    <col min="6154" max="6154" width="10.7109375" style="1" customWidth="1"/>
    <col min="6155" max="6155" width="9.5703125" style="1" customWidth="1"/>
    <col min="6156" max="6157" width="9.140625" style="1"/>
    <col min="6158" max="6158" width="12.7109375" style="1" customWidth="1"/>
    <col min="6159" max="6159" width="10.7109375" style="1" customWidth="1"/>
    <col min="6160" max="6160" width="12.5703125" style="1" customWidth="1"/>
    <col min="6161" max="6161" width="9.140625" style="1"/>
    <col min="6162" max="6162" width="11" style="1" customWidth="1"/>
    <col min="6163" max="6163" width="10.85546875" style="1" customWidth="1"/>
    <col min="6164" max="6407" width="9.140625" style="1"/>
    <col min="6408" max="6408" width="11.28515625" style="1" customWidth="1"/>
    <col min="6409" max="6409" width="13.28515625" style="1" customWidth="1"/>
    <col min="6410" max="6410" width="10.7109375" style="1" customWidth="1"/>
    <col min="6411" max="6411" width="9.5703125" style="1" customWidth="1"/>
    <col min="6412" max="6413" width="9.140625" style="1"/>
    <col min="6414" max="6414" width="12.7109375" style="1" customWidth="1"/>
    <col min="6415" max="6415" width="10.7109375" style="1" customWidth="1"/>
    <col min="6416" max="6416" width="12.5703125" style="1" customWidth="1"/>
    <col min="6417" max="6417" width="9.140625" style="1"/>
    <col min="6418" max="6418" width="11" style="1" customWidth="1"/>
    <col min="6419" max="6419" width="10.85546875" style="1" customWidth="1"/>
    <col min="6420" max="6663" width="9.140625" style="1"/>
    <col min="6664" max="6664" width="11.28515625" style="1" customWidth="1"/>
    <col min="6665" max="6665" width="13.28515625" style="1" customWidth="1"/>
    <col min="6666" max="6666" width="10.7109375" style="1" customWidth="1"/>
    <col min="6667" max="6667" width="9.5703125" style="1" customWidth="1"/>
    <col min="6668" max="6669" width="9.140625" style="1"/>
    <col min="6670" max="6670" width="12.7109375" style="1" customWidth="1"/>
    <col min="6671" max="6671" width="10.7109375" style="1" customWidth="1"/>
    <col min="6672" max="6672" width="12.5703125" style="1" customWidth="1"/>
    <col min="6673" max="6673" width="9.140625" style="1"/>
    <col min="6674" max="6674" width="11" style="1" customWidth="1"/>
    <col min="6675" max="6675" width="10.85546875" style="1" customWidth="1"/>
    <col min="6676" max="6919" width="9.140625" style="1"/>
    <col min="6920" max="6920" width="11.28515625" style="1" customWidth="1"/>
    <col min="6921" max="6921" width="13.28515625" style="1" customWidth="1"/>
    <col min="6922" max="6922" width="10.7109375" style="1" customWidth="1"/>
    <col min="6923" max="6923" width="9.5703125" style="1" customWidth="1"/>
    <col min="6924" max="6925" width="9.140625" style="1"/>
    <col min="6926" max="6926" width="12.7109375" style="1" customWidth="1"/>
    <col min="6927" max="6927" width="10.7109375" style="1" customWidth="1"/>
    <col min="6928" max="6928" width="12.5703125" style="1" customWidth="1"/>
    <col min="6929" max="6929" width="9.140625" style="1"/>
    <col min="6930" max="6930" width="11" style="1" customWidth="1"/>
    <col min="6931" max="6931" width="10.85546875" style="1" customWidth="1"/>
    <col min="6932" max="7175" width="9.140625" style="1"/>
    <col min="7176" max="7176" width="11.28515625" style="1" customWidth="1"/>
    <col min="7177" max="7177" width="13.28515625" style="1" customWidth="1"/>
    <col min="7178" max="7178" width="10.7109375" style="1" customWidth="1"/>
    <col min="7179" max="7179" width="9.5703125" style="1" customWidth="1"/>
    <col min="7180" max="7181" width="9.140625" style="1"/>
    <col min="7182" max="7182" width="12.7109375" style="1" customWidth="1"/>
    <col min="7183" max="7183" width="10.7109375" style="1" customWidth="1"/>
    <col min="7184" max="7184" width="12.5703125" style="1" customWidth="1"/>
    <col min="7185" max="7185" width="9.140625" style="1"/>
    <col min="7186" max="7186" width="11" style="1" customWidth="1"/>
    <col min="7187" max="7187" width="10.85546875" style="1" customWidth="1"/>
    <col min="7188" max="7431" width="9.140625" style="1"/>
    <col min="7432" max="7432" width="11.28515625" style="1" customWidth="1"/>
    <col min="7433" max="7433" width="13.28515625" style="1" customWidth="1"/>
    <col min="7434" max="7434" width="10.7109375" style="1" customWidth="1"/>
    <col min="7435" max="7435" width="9.5703125" style="1" customWidth="1"/>
    <col min="7436" max="7437" width="9.140625" style="1"/>
    <col min="7438" max="7438" width="12.7109375" style="1" customWidth="1"/>
    <col min="7439" max="7439" width="10.7109375" style="1" customWidth="1"/>
    <col min="7440" max="7440" width="12.5703125" style="1" customWidth="1"/>
    <col min="7441" max="7441" width="9.140625" style="1"/>
    <col min="7442" max="7442" width="11" style="1" customWidth="1"/>
    <col min="7443" max="7443" width="10.85546875" style="1" customWidth="1"/>
    <col min="7444" max="7687" width="9.140625" style="1"/>
    <col min="7688" max="7688" width="11.28515625" style="1" customWidth="1"/>
    <col min="7689" max="7689" width="13.28515625" style="1" customWidth="1"/>
    <col min="7690" max="7690" width="10.7109375" style="1" customWidth="1"/>
    <col min="7691" max="7691" width="9.5703125" style="1" customWidth="1"/>
    <col min="7692" max="7693" width="9.140625" style="1"/>
    <col min="7694" max="7694" width="12.7109375" style="1" customWidth="1"/>
    <col min="7695" max="7695" width="10.7109375" style="1" customWidth="1"/>
    <col min="7696" max="7696" width="12.5703125" style="1" customWidth="1"/>
    <col min="7697" max="7697" width="9.140625" style="1"/>
    <col min="7698" max="7698" width="11" style="1" customWidth="1"/>
    <col min="7699" max="7699" width="10.85546875" style="1" customWidth="1"/>
    <col min="7700" max="7943" width="9.140625" style="1"/>
    <col min="7944" max="7944" width="11.28515625" style="1" customWidth="1"/>
    <col min="7945" max="7945" width="13.28515625" style="1" customWidth="1"/>
    <col min="7946" max="7946" width="10.7109375" style="1" customWidth="1"/>
    <col min="7947" max="7947" width="9.5703125" style="1" customWidth="1"/>
    <col min="7948" max="7949" width="9.140625" style="1"/>
    <col min="7950" max="7950" width="12.7109375" style="1" customWidth="1"/>
    <col min="7951" max="7951" width="10.7109375" style="1" customWidth="1"/>
    <col min="7952" max="7952" width="12.5703125" style="1" customWidth="1"/>
    <col min="7953" max="7953" width="9.140625" style="1"/>
    <col min="7954" max="7954" width="11" style="1" customWidth="1"/>
    <col min="7955" max="7955" width="10.85546875" style="1" customWidth="1"/>
    <col min="7956" max="8199" width="9.140625" style="1"/>
    <col min="8200" max="8200" width="11.28515625" style="1" customWidth="1"/>
    <col min="8201" max="8201" width="13.28515625" style="1" customWidth="1"/>
    <col min="8202" max="8202" width="10.7109375" style="1" customWidth="1"/>
    <col min="8203" max="8203" width="9.5703125" style="1" customWidth="1"/>
    <col min="8204" max="8205" width="9.140625" style="1"/>
    <col min="8206" max="8206" width="12.7109375" style="1" customWidth="1"/>
    <col min="8207" max="8207" width="10.7109375" style="1" customWidth="1"/>
    <col min="8208" max="8208" width="12.5703125" style="1" customWidth="1"/>
    <col min="8209" max="8209" width="9.140625" style="1"/>
    <col min="8210" max="8210" width="11" style="1" customWidth="1"/>
    <col min="8211" max="8211" width="10.85546875" style="1" customWidth="1"/>
    <col min="8212" max="8455" width="9.140625" style="1"/>
    <col min="8456" max="8456" width="11.28515625" style="1" customWidth="1"/>
    <col min="8457" max="8457" width="13.28515625" style="1" customWidth="1"/>
    <col min="8458" max="8458" width="10.7109375" style="1" customWidth="1"/>
    <col min="8459" max="8459" width="9.5703125" style="1" customWidth="1"/>
    <col min="8460" max="8461" width="9.140625" style="1"/>
    <col min="8462" max="8462" width="12.7109375" style="1" customWidth="1"/>
    <col min="8463" max="8463" width="10.7109375" style="1" customWidth="1"/>
    <col min="8464" max="8464" width="12.5703125" style="1" customWidth="1"/>
    <col min="8465" max="8465" width="9.140625" style="1"/>
    <col min="8466" max="8466" width="11" style="1" customWidth="1"/>
    <col min="8467" max="8467" width="10.85546875" style="1" customWidth="1"/>
    <col min="8468" max="8711" width="9.140625" style="1"/>
    <col min="8712" max="8712" width="11.28515625" style="1" customWidth="1"/>
    <col min="8713" max="8713" width="13.28515625" style="1" customWidth="1"/>
    <col min="8714" max="8714" width="10.7109375" style="1" customWidth="1"/>
    <col min="8715" max="8715" width="9.5703125" style="1" customWidth="1"/>
    <col min="8716" max="8717" width="9.140625" style="1"/>
    <col min="8718" max="8718" width="12.7109375" style="1" customWidth="1"/>
    <col min="8719" max="8719" width="10.7109375" style="1" customWidth="1"/>
    <col min="8720" max="8720" width="12.5703125" style="1" customWidth="1"/>
    <col min="8721" max="8721" width="9.140625" style="1"/>
    <col min="8722" max="8722" width="11" style="1" customWidth="1"/>
    <col min="8723" max="8723" width="10.85546875" style="1" customWidth="1"/>
    <col min="8724" max="8967" width="9.140625" style="1"/>
    <col min="8968" max="8968" width="11.28515625" style="1" customWidth="1"/>
    <col min="8969" max="8969" width="13.28515625" style="1" customWidth="1"/>
    <col min="8970" max="8970" width="10.7109375" style="1" customWidth="1"/>
    <col min="8971" max="8971" width="9.5703125" style="1" customWidth="1"/>
    <col min="8972" max="8973" width="9.140625" style="1"/>
    <col min="8974" max="8974" width="12.7109375" style="1" customWidth="1"/>
    <col min="8975" max="8975" width="10.7109375" style="1" customWidth="1"/>
    <col min="8976" max="8976" width="12.5703125" style="1" customWidth="1"/>
    <col min="8977" max="8977" width="9.140625" style="1"/>
    <col min="8978" max="8978" width="11" style="1" customWidth="1"/>
    <col min="8979" max="8979" width="10.85546875" style="1" customWidth="1"/>
    <col min="8980" max="9223" width="9.140625" style="1"/>
    <col min="9224" max="9224" width="11.28515625" style="1" customWidth="1"/>
    <col min="9225" max="9225" width="13.28515625" style="1" customWidth="1"/>
    <col min="9226" max="9226" width="10.7109375" style="1" customWidth="1"/>
    <col min="9227" max="9227" width="9.5703125" style="1" customWidth="1"/>
    <col min="9228" max="9229" width="9.140625" style="1"/>
    <col min="9230" max="9230" width="12.7109375" style="1" customWidth="1"/>
    <col min="9231" max="9231" width="10.7109375" style="1" customWidth="1"/>
    <col min="9232" max="9232" width="12.5703125" style="1" customWidth="1"/>
    <col min="9233" max="9233" width="9.140625" style="1"/>
    <col min="9234" max="9234" width="11" style="1" customWidth="1"/>
    <col min="9235" max="9235" width="10.85546875" style="1" customWidth="1"/>
    <col min="9236" max="9479" width="9.140625" style="1"/>
    <col min="9480" max="9480" width="11.28515625" style="1" customWidth="1"/>
    <col min="9481" max="9481" width="13.28515625" style="1" customWidth="1"/>
    <col min="9482" max="9482" width="10.7109375" style="1" customWidth="1"/>
    <col min="9483" max="9483" width="9.5703125" style="1" customWidth="1"/>
    <col min="9484" max="9485" width="9.140625" style="1"/>
    <col min="9486" max="9486" width="12.7109375" style="1" customWidth="1"/>
    <col min="9487" max="9487" width="10.7109375" style="1" customWidth="1"/>
    <col min="9488" max="9488" width="12.5703125" style="1" customWidth="1"/>
    <col min="9489" max="9489" width="9.140625" style="1"/>
    <col min="9490" max="9490" width="11" style="1" customWidth="1"/>
    <col min="9491" max="9491" width="10.85546875" style="1" customWidth="1"/>
    <col min="9492" max="9735" width="9.140625" style="1"/>
    <col min="9736" max="9736" width="11.28515625" style="1" customWidth="1"/>
    <col min="9737" max="9737" width="13.28515625" style="1" customWidth="1"/>
    <col min="9738" max="9738" width="10.7109375" style="1" customWidth="1"/>
    <col min="9739" max="9739" width="9.5703125" style="1" customWidth="1"/>
    <col min="9740" max="9741" width="9.140625" style="1"/>
    <col min="9742" max="9742" width="12.7109375" style="1" customWidth="1"/>
    <col min="9743" max="9743" width="10.7109375" style="1" customWidth="1"/>
    <col min="9744" max="9744" width="12.5703125" style="1" customWidth="1"/>
    <col min="9745" max="9745" width="9.140625" style="1"/>
    <col min="9746" max="9746" width="11" style="1" customWidth="1"/>
    <col min="9747" max="9747" width="10.85546875" style="1" customWidth="1"/>
    <col min="9748" max="9991" width="9.140625" style="1"/>
    <col min="9992" max="9992" width="11.28515625" style="1" customWidth="1"/>
    <col min="9993" max="9993" width="13.28515625" style="1" customWidth="1"/>
    <col min="9994" max="9994" width="10.7109375" style="1" customWidth="1"/>
    <col min="9995" max="9995" width="9.5703125" style="1" customWidth="1"/>
    <col min="9996" max="9997" width="9.140625" style="1"/>
    <col min="9998" max="9998" width="12.7109375" style="1" customWidth="1"/>
    <col min="9999" max="9999" width="10.7109375" style="1" customWidth="1"/>
    <col min="10000" max="10000" width="12.5703125" style="1" customWidth="1"/>
    <col min="10001" max="10001" width="9.140625" style="1"/>
    <col min="10002" max="10002" width="11" style="1" customWidth="1"/>
    <col min="10003" max="10003" width="10.85546875" style="1" customWidth="1"/>
    <col min="10004" max="10247" width="9.140625" style="1"/>
    <col min="10248" max="10248" width="11.28515625" style="1" customWidth="1"/>
    <col min="10249" max="10249" width="13.28515625" style="1" customWidth="1"/>
    <col min="10250" max="10250" width="10.7109375" style="1" customWidth="1"/>
    <col min="10251" max="10251" width="9.5703125" style="1" customWidth="1"/>
    <col min="10252" max="10253" width="9.140625" style="1"/>
    <col min="10254" max="10254" width="12.7109375" style="1" customWidth="1"/>
    <col min="10255" max="10255" width="10.7109375" style="1" customWidth="1"/>
    <col min="10256" max="10256" width="12.5703125" style="1" customWidth="1"/>
    <col min="10257" max="10257" width="9.140625" style="1"/>
    <col min="10258" max="10258" width="11" style="1" customWidth="1"/>
    <col min="10259" max="10259" width="10.85546875" style="1" customWidth="1"/>
    <col min="10260" max="10503" width="9.140625" style="1"/>
    <col min="10504" max="10504" width="11.28515625" style="1" customWidth="1"/>
    <col min="10505" max="10505" width="13.28515625" style="1" customWidth="1"/>
    <col min="10506" max="10506" width="10.7109375" style="1" customWidth="1"/>
    <col min="10507" max="10507" width="9.5703125" style="1" customWidth="1"/>
    <col min="10508" max="10509" width="9.140625" style="1"/>
    <col min="10510" max="10510" width="12.7109375" style="1" customWidth="1"/>
    <col min="10511" max="10511" width="10.7109375" style="1" customWidth="1"/>
    <col min="10512" max="10512" width="12.5703125" style="1" customWidth="1"/>
    <col min="10513" max="10513" width="9.140625" style="1"/>
    <col min="10514" max="10514" width="11" style="1" customWidth="1"/>
    <col min="10515" max="10515" width="10.85546875" style="1" customWidth="1"/>
    <col min="10516" max="10759" width="9.140625" style="1"/>
    <col min="10760" max="10760" width="11.28515625" style="1" customWidth="1"/>
    <col min="10761" max="10761" width="13.28515625" style="1" customWidth="1"/>
    <col min="10762" max="10762" width="10.7109375" style="1" customWidth="1"/>
    <col min="10763" max="10763" width="9.5703125" style="1" customWidth="1"/>
    <col min="10764" max="10765" width="9.140625" style="1"/>
    <col min="10766" max="10766" width="12.7109375" style="1" customWidth="1"/>
    <col min="10767" max="10767" width="10.7109375" style="1" customWidth="1"/>
    <col min="10768" max="10768" width="12.5703125" style="1" customWidth="1"/>
    <col min="10769" max="10769" width="9.140625" style="1"/>
    <col min="10770" max="10770" width="11" style="1" customWidth="1"/>
    <col min="10771" max="10771" width="10.85546875" style="1" customWidth="1"/>
    <col min="10772" max="11015" width="9.140625" style="1"/>
    <col min="11016" max="11016" width="11.28515625" style="1" customWidth="1"/>
    <col min="11017" max="11017" width="13.28515625" style="1" customWidth="1"/>
    <col min="11018" max="11018" width="10.7109375" style="1" customWidth="1"/>
    <col min="11019" max="11019" width="9.5703125" style="1" customWidth="1"/>
    <col min="11020" max="11021" width="9.140625" style="1"/>
    <col min="11022" max="11022" width="12.7109375" style="1" customWidth="1"/>
    <col min="11023" max="11023" width="10.7109375" style="1" customWidth="1"/>
    <col min="11024" max="11024" width="12.5703125" style="1" customWidth="1"/>
    <col min="11025" max="11025" width="9.140625" style="1"/>
    <col min="11026" max="11026" width="11" style="1" customWidth="1"/>
    <col min="11027" max="11027" width="10.85546875" style="1" customWidth="1"/>
    <col min="11028" max="11271" width="9.140625" style="1"/>
    <col min="11272" max="11272" width="11.28515625" style="1" customWidth="1"/>
    <col min="11273" max="11273" width="13.28515625" style="1" customWidth="1"/>
    <col min="11274" max="11274" width="10.7109375" style="1" customWidth="1"/>
    <col min="11275" max="11275" width="9.5703125" style="1" customWidth="1"/>
    <col min="11276" max="11277" width="9.140625" style="1"/>
    <col min="11278" max="11278" width="12.7109375" style="1" customWidth="1"/>
    <col min="11279" max="11279" width="10.7109375" style="1" customWidth="1"/>
    <col min="11280" max="11280" width="12.5703125" style="1" customWidth="1"/>
    <col min="11281" max="11281" width="9.140625" style="1"/>
    <col min="11282" max="11282" width="11" style="1" customWidth="1"/>
    <col min="11283" max="11283" width="10.85546875" style="1" customWidth="1"/>
    <col min="11284" max="11527" width="9.140625" style="1"/>
    <col min="11528" max="11528" width="11.28515625" style="1" customWidth="1"/>
    <col min="11529" max="11529" width="13.28515625" style="1" customWidth="1"/>
    <col min="11530" max="11530" width="10.7109375" style="1" customWidth="1"/>
    <col min="11531" max="11531" width="9.5703125" style="1" customWidth="1"/>
    <col min="11532" max="11533" width="9.140625" style="1"/>
    <col min="11534" max="11534" width="12.7109375" style="1" customWidth="1"/>
    <col min="11535" max="11535" width="10.7109375" style="1" customWidth="1"/>
    <col min="11536" max="11536" width="12.5703125" style="1" customWidth="1"/>
    <col min="11537" max="11537" width="9.140625" style="1"/>
    <col min="11538" max="11538" width="11" style="1" customWidth="1"/>
    <col min="11539" max="11539" width="10.85546875" style="1" customWidth="1"/>
    <col min="11540" max="11783" width="9.140625" style="1"/>
    <col min="11784" max="11784" width="11.28515625" style="1" customWidth="1"/>
    <col min="11785" max="11785" width="13.28515625" style="1" customWidth="1"/>
    <col min="11786" max="11786" width="10.7109375" style="1" customWidth="1"/>
    <col min="11787" max="11787" width="9.5703125" style="1" customWidth="1"/>
    <col min="11788" max="11789" width="9.140625" style="1"/>
    <col min="11790" max="11790" width="12.7109375" style="1" customWidth="1"/>
    <col min="11791" max="11791" width="10.7109375" style="1" customWidth="1"/>
    <col min="11792" max="11792" width="12.5703125" style="1" customWidth="1"/>
    <col min="11793" max="11793" width="9.140625" style="1"/>
    <col min="11794" max="11794" width="11" style="1" customWidth="1"/>
    <col min="11795" max="11795" width="10.85546875" style="1" customWidth="1"/>
    <col min="11796" max="12039" width="9.140625" style="1"/>
    <col min="12040" max="12040" width="11.28515625" style="1" customWidth="1"/>
    <col min="12041" max="12041" width="13.28515625" style="1" customWidth="1"/>
    <col min="12042" max="12042" width="10.7109375" style="1" customWidth="1"/>
    <col min="12043" max="12043" width="9.5703125" style="1" customWidth="1"/>
    <col min="12044" max="12045" width="9.140625" style="1"/>
    <col min="12046" max="12046" width="12.7109375" style="1" customWidth="1"/>
    <col min="12047" max="12047" width="10.7109375" style="1" customWidth="1"/>
    <col min="12048" max="12048" width="12.5703125" style="1" customWidth="1"/>
    <col min="12049" max="12049" width="9.140625" style="1"/>
    <col min="12050" max="12050" width="11" style="1" customWidth="1"/>
    <col min="12051" max="12051" width="10.85546875" style="1" customWidth="1"/>
    <col min="12052" max="12295" width="9.140625" style="1"/>
    <col min="12296" max="12296" width="11.28515625" style="1" customWidth="1"/>
    <col min="12297" max="12297" width="13.28515625" style="1" customWidth="1"/>
    <col min="12298" max="12298" width="10.7109375" style="1" customWidth="1"/>
    <col min="12299" max="12299" width="9.5703125" style="1" customWidth="1"/>
    <col min="12300" max="12301" width="9.140625" style="1"/>
    <col min="12302" max="12302" width="12.7109375" style="1" customWidth="1"/>
    <col min="12303" max="12303" width="10.7109375" style="1" customWidth="1"/>
    <col min="12304" max="12304" width="12.5703125" style="1" customWidth="1"/>
    <col min="12305" max="12305" width="9.140625" style="1"/>
    <col min="12306" max="12306" width="11" style="1" customWidth="1"/>
    <col min="12307" max="12307" width="10.85546875" style="1" customWidth="1"/>
    <col min="12308" max="12551" width="9.140625" style="1"/>
    <col min="12552" max="12552" width="11.28515625" style="1" customWidth="1"/>
    <col min="12553" max="12553" width="13.28515625" style="1" customWidth="1"/>
    <col min="12554" max="12554" width="10.7109375" style="1" customWidth="1"/>
    <col min="12555" max="12555" width="9.5703125" style="1" customWidth="1"/>
    <col min="12556" max="12557" width="9.140625" style="1"/>
    <col min="12558" max="12558" width="12.7109375" style="1" customWidth="1"/>
    <col min="12559" max="12559" width="10.7109375" style="1" customWidth="1"/>
    <col min="12560" max="12560" width="12.5703125" style="1" customWidth="1"/>
    <col min="12561" max="12561" width="9.140625" style="1"/>
    <col min="12562" max="12562" width="11" style="1" customWidth="1"/>
    <col min="12563" max="12563" width="10.85546875" style="1" customWidth="1"/>
    <col min="12564" max="12807" width="9.140625" style="1"/>
    <col min="12808" max="12808" width="11.28515625" style="1" customWidth="1"/>
    <col min="12809" max="12809" width="13.28515625" style="1" customWidth="1"/>
    <col min="12810" max="12810" width="10.7109375" style="1" customWidth="1"/>
    <col min="12811" max="12811" width="9.5703125" style="1" customWidth="1"/>
    <col min="12812" max="12813" width="9.140625" style="1"/>
    <col min="12814" max="12814" width="12.7109375" style="1" customWidth="1"/>
    <col min="12815" max="12815" width="10.7109375" style="1" customWidth="1"/>
    <col min="12816" max="12816" width="12.5703125" style="1" customWidth="1"/>
    <col min="12817" max="12817" width="9.140625" style="1"/>
    <col min="12818" max="12818" width="11" style="1" customWidth="1"/>
    <col min="12819" max="12819" width="10.85546875" style="1" customWidth="1"/>
    <col min="12820" max="13063" width="9.140625" style="1"/>
    <col min="13064" max="13064" width="11.28515625" style="1" customWidth="1"/>
    <col min="13065" max="13065" width="13.28515625" style="1" customWidth="1"/>
    <col min="13066" max="13066" width="10.7109375" style="1" customWidth="1"/>
    <col min="13067" max="13067" width="9.5703125" style="1" customWidth="1"/>
    <col min="13068" max="13069" width="9.140625" style="1"/>
    <col min="13070" max="13070" width="12.7109375" style="1" customWidth="1"/>
    <col min="13071" max="13071" width="10.7109375" style="1" customWidth="1"/>
    <col min="13072" max="13072" width="12.5703125" style="1" customWidth="1"/>
    <col min="13073" max="13073" width="9.140625" style="1"/>
    <col min="13074" max="13074" width="11" style="1" customWidth="1"/>
    <col min="13075" max="13075" width="10.85546875" style="1" customWidth="1"/>
    <col min="13076" max="13319" width="9.140625" style="1"/>
    <col min="13320" max="13320" width="11.28515625" style="1" customWidth="1"/>
    <col min="13321" max="13321" width="13.28515625" style="1" customWidth="1"/>
    <col min="13322" max="13322" width="10.7109375" style="1" customWidth="1"/>
    <col min="13323" max="13323" width="9.5703125" style="1" customWidth="1"/>
    <col min="13324" max="13325" width="9.140625" style="1"/>
    <col min="13326" max="13326" width="12.7109375" style="1" customWidth="1"/>
    <col min="13327" max="13327" width="10.7109375" style="1" customWidth="1"/>
    <col min="13328" max="13328" width="12.5703125" style="1" customWidth="1"/>
    <col min="13329" max="13329" width="9.140625" style="1"/>
    <col min="13330" max="13330" width="11" style="1" customWidth="1"/>
    <col min="13331" max="13331" width="10.85546875" style="1" customWidth="1"/>
    <col min="13332" max="13575" width="9.140625" style="1"/>
    <col min="13576" max="13576" width="11.28515625" style="1" customWidth="1"/>
    <col min="13577" max="13577" width="13.28515625" style="1" customWidth="1"/>
    <col min="13578" max="13578" width="10.7109375" style="1" customWidth="1"/>
    <col min="13579" max="13579" width="9.5703125" style="1" customWidth="1"/>
    <col min="13580" max="13581" width="9.140625" style="1"/>
    <col min="13582" max="13582" width="12.7109375" style="1" customWidth="1"/>
    <col min="13583" max="13583" width="10.7109375" style="1" customWidth="1"/>
    <col min="13584" max="13584" width="12.5703125" style="1" customWidth="1"/>
    <col min="13585" max="13585" width="9.140625" style="1"/>
    <col min="13586" max="13586" width="11" style="1" customWidth="1"/>
    <col min="13587" max="13587" width="10.85546875" style="1" customWidth="1"/>
    <col min="13588" max="13831" width="9.140625" style="1"/>
    <col min="13832" max="13832" width="11.28515625" style="1" customWidth="1"/>
    <col min="13833" max="13833" width="13.28515625" style="1" customWidth="1"/>
    <col min="13834" max="13834" width="10.7109375" style="1" customWidth="1"/>
    <col min="13835" max="13835" width="9.5703125" style="1" customWidth="1"/>
    <col min="13836" max="13837" width="9.140625" style="1"/>
    <col min="13838" max="13838" width="12.7109375" style="1" customWidth="1"/>
    <col min="13839" max="13839" width="10.7109375" style="1" customWidth="1"/>
    <col min="13840" max="13840" width="12.5703125" style="1" customWidth="1"/>
    <col min="13841" max="13841" width="9.140625" style="1"/>
    <col min="13842" max="13842" width="11" style="1" customWidth="1"/>
    <col min="13843" max="13843" width="10.85546875" style="1" customWidth="1"/>
    <col min="13844" max="14087" width="9.140625" style="1"/>
    <col min="14088" max="14088" width="11.28515625" style="1" customWidth="1"/>
    <col min="14089" max="14089" width="13.28515625" style="1" customWidth="1"/>
    <col min="14090" max="14090" width="10.7109375" style="1" customWidth="1"/>
    <col min="14091" max="14091" width="9.5703125" style="1" customWidth="1"/>
    <col min="14092" max="14093" width="9.140625" style="1"/>
    <col min="14094" max="14094" width="12.7109375" style="1" customWidth="1"/>
    <col min="14095" max="14095" width="10.7109375" style="1" customWidth="1"/>
    <col min="14096" max="14096" width="12.5703125" style="1" customWidth="1"/>
    <col min="14097" max="14097" width="9.140625" style="1"/>
    <col min="14098" max="14098" width="11" style="1" customWidth="1"/>
    <col min="14099" max="14099" width="10.85546875" style="1" customWidth="1"/>
    <col min="14100" max="14343" width="9.140625" style="1"/>
    <col min="14344" max="14344" width="11.28515625" style="1" customWidth="1"/>
    <col min="14345" max="14345" width="13.28515625" style="1" customWidth="1"/>
    <col min="14346" max="14346" width="10.7109375" style="1" customWidth="1"/>
    <col min="14347" max="14347" width="9.5703125" style="1" customWidth="1"/>
    <col min="14348" max="14349" width="9.140625" style="1"/>
    <col min="14350" max="14350" width="12.7109375" style="1" customWidth="1"/>
    <col min="14351" max="14351" width="10.7109375" style="1" customWidth="1"/>
    <col min="14352" max="14352" width="12.5703125" style="1" customWidth="1"/>
    <col min="14353" max="14353" width="9.140625" style="1"/>
    <col min="14354" max="14354" width="11" style="1" customWidth="1"/>
    <col min="14355" max="14355" width="10.85546875" style="1" customWidth="1"/>
    <col min="14356" max="14599" width="9.140625" style="1"/>
    <col min="14600" max="14600" width="11.28515625" style="1" customWidth="1"/>
    <col min="14601" max="14601" width="13.28515625" style="1" customWidth="1"/>
    <col min="14602" max="14602" width="10.7109375" style="1" customWidth="1"/>
    <col min="14603" max="14603" width="9.5703125" style="1" customWidth="1"/>
    <col min="14604" max="14605" width="9.140625" style="1"/>
    <col min="14606" max="14606" width="12.7109375" style="1" customWidth="1"/>
    <col min="14607" max="14607" width="10.7109375" style="1" customWidth="1"/>
    <col min="14608" max="14608" width="12.5703125" style="1" customWidth="1"/>
    <col min="14609" max="14609" width="9.140625" style="1"/>
    <col min="14610" max="14610" width="11" style="1" customWidth="1"/>
    <col min="14611" max="14611" width="10.85546875" style="1" customWidth="1"/>
    <col min="14612" max="14855" width="9.140625" style="1"/>
    <col min="14856" max="14856" width="11.28515625" style="1" customWidth="1"/>
    <col min="14857" max="14857" width="13.28515625" style="1" customWidth="1"/>
    <col min="14858" max="14858" width="10.7109375" style="1" customWidth="1"/>
    <col min="14859" max="14859" width="9.5703125" style="1" customWidth="1"/>
    <col min="14860" max="14861" width="9.140625" style="1"/>
    <col min="14862" max="14862" width="12.7109375" style="1" customWidth="1"/>
    <col min="14863" max="14863" width="10.7109375" style="1" customWidth="1"/>
    <col min="14864" max="14864" width="12.5703125" style="1" customWidth="1"/>
    <col min="14865" max="14865" width="9.140625" style="1"/>
    <col min="14866" max="14866" width="11" style="1" customWidth="1"/>
    <col min="14867" max="14867" width="10.85546875" style="1" customWidth="1"/>
    <col min="14868" max="15111" width="9.140625" style="1"/>
    <col min="15112" max="15112" width="11.28515625" style="1" customWidth="1"/>
    <col min="15113" max="15113" width="13.28515625" style="1" customWidth="1"/>
    <col min="15114" max="15114" width="10.7109375" style="1" customWidth="1"/>
    <col min="15115" max="15115" width="9.5703125" style="1" customWidth="1"/>
    <col min="15116" max="15117" width="9.140625" style="1"/>
    <col min="15118" max="15118" width="12.7109375" style="1" customWidth="1"/>
    <col min="15119" max="15119" width="10.7109375" style="1" customWidth="1"/>
    <col min="15120" max="15120" width="12.5703125" style="1" customWidth="1"/>
    <col min="15121" max="15121" width="9.140625" style="1"/>
    <col min="15122" max="15122" width="11" style="1" customWidth="1"/>
    <col min="15123" max="15123" width="10.85546875" style="1" customWidth="1"/>
    <col min="15124" max="15367" width="9.140625" style="1"/>
    <col min="15368" max="15368" width="11.28515625" style="1" customWidth="1"/>
    <col min="15369" max="15369" width="13.28515625" style="1" customWidth="1"/>
    <col min="15370" max="15370" width="10.7109375" style="1" customWidth="1"/>
    <col min="15371" max="15371" width="9.5703125" style="1" customWidth="1"/>
    <col min="15372" max="15373" width="9.140625" style="1"/>
    <col min="15374" max="15374" width="12.7109375" style="1" customWidth="1"/>
    <col min="15375" max="15375" width="10.7109375" style="1" customWidth="1"/>
    <col min="15376" max="15376" width="12.5703125" style="1" customWidth="1"/>
    <col min="15377" max="15377" width="9.140625" style="1"/>
    <col min="15378" max="15378" width="11" style="1" customWidth="1"/>
    <col min="15379" max="15379" width="10.85546875" style="1" customWidth="1"/>
    <col min="15380" max="15623" width="9.140625" style="1"/>
    <col min="15624" max="15624" width="11.28515625" style="1" customWidth="1"/>
    <col min="15625" max="15625" width="13.28515625" style="1" customWidth="1"/>
    <col min="15626" max="15626" width="10.7109375" style="1" customWidth="1"/>
    <col min="15627" max="15627" width="9.5703125" style="1" customWidth="1"/>
    <col min="15628" max="15629" width="9.140625" style="1"/>
    <col min="15630" max="15630" width="12.7109375" style="1" customWidth="1"/>
    <col min="15631" max="15631" width="10.7109375" style="1" customWidth="1"/>
    <col min="15632" max="15632" width="12.5703125" style="1" customWidth="1"/>
    <col min="15633" max="15633" width="9.140625" style="1"/>
    <col min="15634" max="15634" width="11" style="1" customWidth="1"/>
    <col min="15635" max="15635" width="10.85546875" style="1" customWidth="1"/>
    <col min="15636" max="15879" width="9.140625" style="1"/>
    <col min="15880" max="15880" width="11.28515625" style="1" customWidth="1"/>
    <col min="15881" max="15881" width="13.28515625" style="1" customWidth="1"/>
    <col min="15882" max="15882" width="10.7109375" style="1" customWidth="1"/>
    <col min="15883" max="15883" width="9.5703125" style="1" customWidth="1"/>
    <col min="15884" max="15885" width="9.140625" style="1"/>
    <col min="15886" max="15886" width="12.7109375" style="1" customWidth="1"/>
    <col min="15887" max="15887" width="10.7109375" style="1" customWidth="1"/>
    <col min="15888" max="15888" width="12.5703125" style="1" customWidth="1"/>
    <col min="15889" max="15889" width="9.140625" style="1"/>
    <col min="15890" max="15890" width="11" style="1" customWidth="1"/>
    <col min="15891" max="15891" width="10.85546875" style="1" customWidth="1"/>
    <col min="15892" max="16135" width="9.140625" style="1"/>
    <col min="16136" max="16136" width="11.28515625" style="1" customWidth="1"/>
    <col min="16137" max="16137" width="13.28515625" style="1" customWidth="1"/>
    <col min="16138" max="16138" width="10.7109375" style="1" customWidth="1"/>
    <col min="16139" max="16139" width="9.5703125" style="1" customWidth="1"/>
    <col min="16140" max="16141" width="9.140625" style="1"/>
    <col min="16142" max="16142" width="12.7109375" style="1" customWidth="1"/>
    <col min="16143" max="16143" width="10.7109375" style="1" customWidth="1"/>
    <col min="16144" max="16144" width="12.5703125" style="1" customWidth="1"/>
    <col min="16145" max="16145" width="9.140625" style="1"/>
    <col min="16146" max="16146" width="11" style="1" customWidth="1"/>
    <col min="16147" max="16147" width="10.85546875" style="1" customWidth="1"/>
    <col min="16148" max="16384" width="9.140625" style="1"/>
  </cols>
  <sheetData>
    <row r="5" spans="1:26" x14ac:dyDescent="0.25">
      <c r="B5" s="82" t="s">
        <v>0</v>
      </c>
    </row>
    <row r="7" spans="1:26" ht="147" customHeight="1" x14ac:dyDescent="0.25">
      <c r="B7" s="146" t="s">
        <v>3</v>
      </c>
      <c r="C7" s="146" t="s">
        <v>4</v>
      </c>
      <c r="D7" s="146" t="s">
        <v>5</v>
      </c>
      <c r="E7" s="146" t="s">
        <v>6</v>
      </c>
      <c r="F7" s="146" t="s">
        <v>7</v>
      </c>
      <c r="G7" s="146" t="s">
        <v>8</v>
      </c>
      <c r="H7" s="146" t="s">
        <v>9</v>
      </c>
      <c r="I7" s="97" t="s">
        <v>10</v>
      </c>
      <c r="J7" s="146" t="s">
        <v>11</v>
      </c>
      <c r="K7" s="97" t="s">
        <v>12</v>
      </c>
      <c r="L7" s="150" t="s">
        <v>13</v>
      </c>
      <c r="M7" s="151"/>
      <c r="N7" s="152"/>
      <c r="O7" s="146" t="s">
        <v>14</v>
      </c>
      <c r="P7" s="153" t="s">
        <v>15</v>
      </c>
      <c r="Q7" s="154"/>
      <c r="R7" s="154"/>
      <c r="S7" s="155"/>
      <c r="T7" s="148" t="s">
        <v>16</v>
      </c>
      <c r="U7" s="159" t="s">
        <v>17</v>
      </c>
      <c r="V7" s="156" t="s">
        <v>18</v>
      </c>
      <c r="W7" s="157"/>
      <c r="X7" s="157"/>
      <c r="Y7" s="158"/>
      <c r="Z7" s="144" t="s">
        <v>19</v>
      </c>
    </row>
    <row r="8" spans="1:26" ht="66.599999999999994" customHeight="1" x14ac:dyDescent="0.25">
      <c r="B8" s="147"/>
      <c r="C8" s="147"/>
      <c r="D8" s="147"/>
      <c r="E8" s="147"/>
      <c r="F8" s="147"/>
      <c r="G8" s="147"/>
      <c r="H8" s="147"/>
      <c r="I8" s="97">
        <v>10.4</v>
      </c>
      <c r="J8" s="147"/>
      <c r="K8" s="97">
        <v>0.7</v>
      </c>
      <c r="L8" s="98">
        <v>0.8</v>
      </c>
      <c r="M8" s="99">
        <v>0.9</v>
      </c>
      <c r="N8" s="100">
        <v>1</v>
      </c>
      <c r="O8" s="147"/>
      <c r="P8" s="101">
        <v>0.1</v>
      </c>
      <c r="Q8" s="104">
        <v>0.2</v>
      </c>
      <c r="R8" s="104">
        <v>0.3</v>
      </c>
      <c r="S8" s="104">
        <v>0.1</v>
      </c>
      <c r="T8" s="149"/>
      <c r="U8" s="160"/>
      <c r="V8" s="105" t="s">
        <v>20</v>
      </c>
      <c r="W8" s="105" t="s">
        <v>21</v>
      </c>
      <c r="X8" s="105" t="s">
        <v>22</v>
      </c>
      <c r="Y8" s="105" t="s">
        <v>23</v>
      </c>
      <c r="Z8" s="145"/>
    </row>
    <row r="9" spans="1:26" x14ac:dyDescent="0.25">
      <c r="B9" s="83">
        <v>0</v>
      </c>
      <c r="C9" s="83">
        <v>1</v>
      </c>
      <c r="D9" s="83">
        <v>2</v>
      </c>
      <c r="E9" s="83" t="s">
        <v>24</v>
      </c>
      <c r="F9" s="83" t="s">
        <v>25</v>
      </c>
      <c r="G9" s="83" t="s">
        <v>26</v>
      </c>
      <c r="H9" s="83" t="s">
        <v>27</v>
      </c>
      <c r="I9" s="83" t="s">
        <v>28</v>
      </c>
      <c r="J9" s="83" t="s">
        <v>29</v>
      </c>
      <c r="K9" s="83" t="s">
        <v>30</v>
      </c>
      <c r="L9" s="83" t="s">
        <v>31</v>
      </c>
      <c r="M9" s="83" t="s">
        <v>32</v>
      </c>
      <c r="N9" s="83" t="s">
        <v>32</v>
      </c>
      <c r="O9" s="83">
        <v>10</v>
      </c>
      <c r="P9" s="102" t="s">
        <v>33</v>
      </c>
      <c r="Q9" s="102" t="s">
        <v>34</v>
      </c>
      <c r="R9" s="102" t="s">
        <v>35</v>
      </c>
      <c r="S9" s="102" t="s">
        <v>36</v>
      </c>
      <c r="T9" s="102" t="s">
        <v>37</v>
      </c>
      <c r="U9" s="102" t="s">
        <v>38</v>
      </c>
      <c r="V9" s="83">
        <v>13</v>
      </c>
      <c r="W9" s="102" t="s">
        <v>39</v>
      </c>
      <c r="X9" s="102" t="s">
        <v>40</v>
      </c>
      <c r="Y9" s="102" t="s">
        <v>41</v>
      </c>
      <c r="Z9" s="83">
        <v>14</v>
      </c>
    </row>
    <row r="10" spans="1:26" ht="38.25" x14ac:dyDescent="0.25">
      <c r="A10" s="84" t="s">
        <v>46</v>
      </c>
      <c r="B10" s="85">
        <v>1</v>
      </c>
      <c r="C10" s="85">
        <v>1515</v>
      </c>
      <c r="D10" s="85">
        <v>1808861.52</v>
      </c>
      <c r="E10" s="86">
        <f t="shared" ref="E10:E17" si="0">D10/60</f>
        <v>30147.691999999999</v>
      </c>
      <c r="F10" s="86">
        <f t="shared" ref="F10:F17" si="1">D10*1.5%</f>
        <v>27132.9228</v>
      </c>
      <c r="G10" s="85">
        <f t="shared" ref="G10:G13" si="2">D10*0%</f>
        <v>0</v>
      </c>
      <c r="H10" s="86">
        <f t="shared" ref="H10:H17" si="3">E10+F10+G10</f>
        <v>57280.614800000003</v>
      </c>
      <c r="I10" s="86">
        <f>H10*(100%+10.4%)</f>
        <v>63237.7987392</v>
      </c>
      <c r="J10" s="86">
        <f t="shared" ref="J10:J17" si="4">I10/12</f>
        <v>5269.8165615999997</v>
      </c>
      <c r="K10" s="86">
        <f t="shared" ref="K10:K17" si="5">J10*0.7</f>
        <v>3688.8715931199999</v>
      </c>
      <c r="L10" s="86">
        <f>K10*L8</f>
        <v>2951.097274496</v>
      </c>
      <c r="M10" s="86">
        <f>K10*M8</f>
        <v>3319.9844338080002</v>
      </c>
      <c r="N10" s="86">
        <f>K10*N8</f>
        <v>3688.8715931199999</v>
      </c>
      <c r="O10" s="86">
        <v>2137</v>
      </c>
      <c r="P10" s="86"/>
      <c r="Q10" s="86">
        <f>+O10*10%</f>
        <v>213.7</v>
      </c>
      <c r="R10" s="86"/>
      <c r="S10" s="106"/>
      <c r="T10" s="106"/>
      <c r="U10" s="107">
        <v>53</v>
      </c>
      <c r="V10" s="108">
        <f t="shared" ref="V10:V17" si="6">J10</f>
        <v>5269.8165615999997</v>
      </c>
      <c r="W10" s="108">
        <f t="shared" ref="W10:W17" si="7">L10</f>
        <v>2951.097274496</v>
      </c>
      <c r="X10" s="108">
        <f t="shared" ref="X10:X17" si="8">E10/12</f>
        <v>2512.3076666666698</v>
      </c>
      <c r="Y10" s="113">
        <f t="shared" ref="Y10:Y17" si="9">(X10/V10)*100</f>
        <v>47.673531655224998</v>
      </c>
      <c r="Z10" s="114">
        <f t="shared" ref="Z10:Z17" si="10">W10*Y10%</f>
        <v>1406.8922933333299</v>
      </c>
    </row>
    <row r="11" spans="1:26" ht="38.25" x14ac:dyDescent="0.25">
      <c r="A11" s="84" t="s">
        <v>47</v>
      </c>
      <c r="B11" s="85">
        <v>2</v>
      </c>
      <c r="C11" s="85">
        <v>1515</v>
      </c>
      <c r="D11" s="85">
        <v>1808861.52</v>
      </c>
      <c r="E11" s="86">
        <f t="shared" si="0"/>
        <v>30147.691999999999</v>
      </c>
      <c r="F11" s="86">
        <f t="shared" si="1"/>
        <v>27132.9228</v>
      </c>
      <c r="G11" s="85">
        <f t="shared" si="2"/>
        <v>0</v>
      </c>
      <c r="H11" s="86">
        <f t="shared" si="3"/>
        <v>57280.614800000003</v>
      </c>
      <c r="I11" s="86">
        <f t="shared" ref="I11:I18" si="11">H11*(100%+10.4%)</f>
        <v>63237.7987392</v>
      </c>
      <c r="J11" s="86">
        <f t="shared" si="4"/>
        <v>5269.8165615999997</v>
      </c>
      <c r="K11" s="86">
        <f t="shared" si="5"/>
        <v>3688.8715931199999</v>
      </c>
      <c r="L11" s="86">
        <f>K11*L8</f>
        <v>2951.097274496</v>
      </c>
      <c r="M11" s="86">
        <f>K11*M8</f>
        <v>3319.9844338080002</v>
      </c>
      <c r="N11" s="86">
        <f>K11*N8</f>
        <v>3688.8715931199999</v>
      </c>
      <c r="O11" s="86"/>
      <c r="P11" s="86"/>
      <c r="Q11" s="86"/>
      <c r="R11" s="86"/>
      <c r="S11" s="106"/>
      <c r="T11" s="106"/>
      <c r="U11" s="107">
        <v>73</v>
      </c>
      <c r="V11" s="108">
        <f t="shared" si="6"/>
        <v>5269.8165615999997</v>
      </c>
      <c r="W11" s="108">
        <f t="shared" si="7"/>
        <v>2951.097274496</v>
      </c>
      <c r="X11" s="108">
        <f t="shared" si="8"/>
        <v>2512.3076666666698</v>
      </c>
      <c r="Y11" s="113">
        <f t="shared" si="9"/>
        <v>47.673531655224998</v>
      </c>
      <c r="Z11" s="114">
        <f t="shared" si="10"/>
        <v>1406.8922933333299</v>
      </c>
    </row>
    <row r="12" spans="1:26" ht="38.25" x14ac:dyDescent="0.25">
      <c r="A12" s="84" t="s">
        <v>48</v>
      </c>
      <c r="B12" s="85">
        <v>3</v>
      </c>
      <c r="C12" s="85">
        <v>1520</v>
      </c>
      <c r="D12" s="85">
        <v>1814833.08</v>
      </c>
      <c r="E12" s="86">
        <f t="shared" si="0"/>
        <v>30247.218000000001</v>
      </c>
      <c r="F12" s="86">
        <f t="shared" si="1"/>
        <v>27222.496200000001</v>
      </c>
      <c r="G12" s="85">
        <f t="shared" si="2"/>
        <v>0</v>
      </c>
      <c r="H12" s="86">
        <f t="shared" si="3"/>
        <v>57469.714200000002</v>
      </c>
      <c r="I12" s="86">
        <f t="shared" si="11"/>
        <v>63446.564476799998</v>
      </c>
      <c r="J12" s="86">
        <f t="shared" si="4"/>
        <v>5287.2137063999999</v>
      </c>
      <c r="K12" s="86">
        <f t="shared" si="5"/>
        <v>3701.04959448</v>
      </c>
      <c r="L12" s="86">
        <f>K12*L8</f>
        <v>2960.8396755839999</v>
      </c>
      <c r="M12" s="86">
        <f>K12*M8</f>
        <v>3330.944635032</v>
      </c>
      <c r="N12" s="86">
        <f>K12*N8</f>
        <v>3701.04959448</v>
      </c>
      <c r="O12" s="86"/>
      <c r="P12" s="86"/>
      <c r="Q12" s="86"/>
      <c r="R12" s="86"/>
      <c r="S12" s="106"/>
      <c r="T12" s="106"/>
      <c r="U12" s="107"/>
      <c r="V12" s="108">
        <f t="shared" si="6"/>
        <v>5287.2137063999999</v>
      </c>
      <c r="W12" s="108">
        <f t="shared" si="7"/>
        <v>2960.8396755839999</v>
      </c>
      <c r="X12" s="108">
        <f t="shared" si="8"/>
        <v>2520.6015000000002</v>
      </c>
      <c r="Y12" s="113">
        <f t="shared" si="9"/>
        <v>47.673531655224998</v>
      </c>
      <c r="Z12" s="114">
        <f t="shared" si="10"/>
        <v>1411.53684</v>
      </c>
    </row>
    <row r="13" spans="1:26" ht="38.25" x14ac:dyDescent="0.25">
      <c r="A13" s="84" t="s">
        <v>49</v>
      </c>
      <c r="B13" s="87">
        <v>4</v>
      </c>
      <c r="C13" s="85">
        <v>1095</v>
      </c>
      <c r="D13" s="85">
        <v>1307394.969</v>
      </c>
      <c r="E13" s="86">
        <f t="shared" si="0"/>
        <v>21789.916150000001</v>
      </c>
      <c r="F13" s="86">
        <f t="shared" si="1"/>
        <v>19610.924534999998</v>
      </c>
      <c r="G13" s="85">
        <f t="shared" si="2"/>
        <v>0</v>
      </c>
      <c r="H13" s="86">
        <f t="shared" si="3"/>
        <v>41400.840685000003</v>
      </c>
      <c r="I13" s="86">
        <f t="shared" si="11"/>
        <v>45706.528116239999</v>
      </c>
      <c r="J13" s="86">
        <f t="shared" si="4"/>
        <v>3808.8773430199999</v>
      </c>
      <c r="K13" s="86">
        <f t="shared" si="5"/>
        <v>2666.2141401140002</v>
      </c>
      <c r="L13" s="86">
        <f>K13*L8</f>
        <v>2132.9713120912002</v>
      </c>
      <c r="M13" s="86">
        <f>K13*M8</f>
        <v>2399.5927261026</v>
      </c>
      <c r="N13" s="86">
        <f>K13*N8</f>
        <v>2666.2141401140002</v>
      </c>
      <c r="O13" s="86"/>
      <c r="P13" s="86"/>
      <c r="Q13" s="86"/>
      <c r="R13" s="86"/>
      <c r="S13" s="106"/>
      <c r="T13" s="106"/>
      <c r="U13" s="109"/>
      <c r="V13" s="108">
        <f t="shared" si="6"/>
        <v>3808.8773430199999</v>
      </c>
      <c r="W13" s="108">
        <f t="shared" si="7"/>
        <v>2132.9713120912002</v>
      </c>
      <c r="X13" s="108">
        <f t="shared" si="8"/>
        <v>1815.8263458333299</v>
      </c>
      <c r="Y13" s="113">
        <f t="shared" si="9"/>
        <v>47.673531655224998</v>
      </c>
      <c r="Z13" s="114">
        <f t="shared" si="10"/>
        <v>1016.86275366667</v>
      </c>
    </row>
    <row r="14" spans="1:26" ht="38.25" x14ac:dyDescent="0.25">
      <c r="A14" s="84" t="s">
        <v>50</v>
      </c>
      <c r="B14" s="87">
        <v>5</v>
      </c>
      <c r="C14" s="85">
        <v>1585</v>
      </c>
      <c r="D14" s="85">
        <v>1509496.87</v>
      </c>
      <c r="E14" s="86">
        <f t="shared" si="0"/>
        <v>25158.2811666667</v>
      </c>
      <c r="F14" s="86">
        <f t="shared" si="1"/>
        <v>22642.45305</v>
      </c>
      <c r="G14" s="85">
        <v>0</v>
      </c>
      <c r="H14" s="86">
        <f t="shared" si="3"/>
        <v>47800.7342166667</v>
      </c>
      <c r="I14" s="86">
        <f t="shared" si="11"/>
        <v>52772.010575200002</v>
      </c>
      <c r="J14" s="86">
        <f t="shared" si="4"/>
        <v>4397.6675479333298</v>
      </c>
      <c r="K14" s="86">
        <f t="shared" si="5"/>
        <v>3078.3672835533298</v>
      </c>
      <c r="L14" s="86">
        <f>K14*L8</f>
        <v>2462.6938268426702</v>
      </c>
      <c r="M14" s="86">
        <f>K14*M8</f>
        <v>2770.530555198</v>
      </c>
      <c r="N14" s="86">
        <f>K14*N8</f>
        <v>3078.3672835533298</v>
      </c>
      <c r="O14" s="86"/>
      <c r="P14" s="86"/>
      <c r="Q14" s="86"/>
      <c r="R14" s="86"/>
      <c r="S14" s="106"/>
      <c r="T14" s="106"/>
      <c r="U14" s="109"/>
      <c r="V14" s="108">
        <f t="shared" si="6"/>
        <v>4397.6675479333298</v>
      </c>
      <c r="W14" s="108">
        <f t="shared" si="7"/>
        <v>2462.6938268426702</v>
      </c>
      <c r="X14" s="108">
        <f t="shared" si="8"/>
        <v>2096.52343055556</v>
      </c>
      <c r="Y14" s="113">
        <f t="shared" si="9"/>
        <v>47.673531655224998</v>
      </c>
      <c r="Z14" s="114">
        <f t="shared" si="10"/>
        <v>1174.0531211111099</v>
      </c>
    </row>
    <row r="15" spans="1:26" ht="38.25" x14ac:dyDescent="0.25">
      <c r="A15" s="84" t="s">
        <v>51</v>
      </c>
      <c r="B15" s="87">
        <v>6</v>
      </c>
      <c r="C15" s="85">
        <v>1575</v>
      </c>
      <c r="D15" s="86">
        <v>1822545.02</v>
      </c>
      <c r="E15" s="86">
        <f t="shared" si="0"/>
        <v>30375.750333333301</v>
      </c>
      <c r="F15" s="86">
        <f t="shared" si="1"/>
        <v>27338.175299999999</v>
      </c>
      <c r="G15" s="85">
        <v>0</v>
      </c>
      <c r="H15" s="86">
        <f t="shared" si="3"/>
        <v>57713.925633333303</v>
      </c>
      <c r="I15" s="86">
        <f t="shared" si="11"/>
        <v>63716.173899200003</v>
      </c>
      <c r="J15" s="86">
        <f t="shared" si="4"/>
        <v>5309.6811582666696</v>
      </c>
      <c r="K15" s="86">
        <f t="shared" si="5"/>
        <v>3716.77681078667</v>
      </c>
      <c r="L15" s="86">
        <f>K15*N8</f>
        <v>3716.77681078667</v>
      </c>
      <c r="M15" s="86">
        <f>K15*M8</f>
        <v>3345.099129708</v>
      </c>
      <c r="N15" s="86">
        <f>K15*N8</f>
        <v>3716.77681078667</v>
      </c>
      <c r="O15" s="86"/>
      <c r="P15" s="86"/>
      <c r="Q15" s="86"/>
      <c r="R15" s="86"/>
      <c r="S15" s="106"/>
      <c r="T15" s="106"/>
      <c r="U15" s="109"/>
      <c r="V15" s="108">
        <f t="shared" si="6"/>
        <v>5309.6811582666696</v>
      </c>
      <c r="W15" s="108">
        <f t="shared" si="7"/>
        <v>3716.77681078667</v>
      </c>
      <c r="X15" s="108">
        <f t="shared" si="8"/>
        <v>2531.3125277777799</v>
      </c>
      <c r="Y15" s="113">
        <f t="shared" si="9"/>
        <v>47.673531655224998</v>
      </c>
      <c r="Z15" s="114">
        <f t="shared" si="10"/>
        <v>1771.9187694444399</v>
      </c>
    </row>
    <row r="16" spans="1:26" ht="38.25" x14ac:dyDescent="0.25">
      <c r="A16" s="84" t="s">
        <v>52</v>
      </c>
      <c r="B16" s="85">
        <v>7</v>
      </c>
      <c r="C16" s="85">
        <v>954.82</v>
      </c>
      <c r="D16" s="85">
        <v>1547439.66</v>
      </c>
      <c r="E16" s="86">
        <f t="shared" si="0"/>
        <v>25790.661</v>
      </c>
      <c r="F16" s="86">
        <f t="shared" si="1"/>
        <v>23211.5949</v>
      </c>
      <c r="G16" s="85">
        <v>0</v>
      </c>
      <c r="H16" s="86">
        <f t="shared" si="3"/>
        <v>49002.255899999996</v>
      </c>
      <c r="I16" s="86">
        <f t="shared" si="11"/>
        <v>54098.490513600002</v>
      </c>
      <c r="J16" s="86">
        <f t="shared" si="4"/>
        <v>4508.2075427999998</v>
      </c>
      <c r="K16" s="86">
        <f t="shared" si="5"/>
        <v>3155.7452799600001</v>
      </c>
      <c r="L16" s="86">
        <f>K16*L8</f>
        <v>2524.5962239679998</v>
      </c>
      <c r="M16" s="86">
        <f>K16*M8</f>
        <v>2840.1707519639999</v>
      </c>
      <c r="N16" s="86">
        <f>K16*N8</f>
        <v>3155.7452799600001</v>
      </c>
      <c r="O16" s="86"/>
      <c r="P16" s="86"/>
      <c r="Q16" s="86"/>
      <c r="R16" s="86"/>
      <c r="S16" s="106"/>
      <c r="T16" s="106"/>
      <c r="U16" s="109"/>
      <c r="V16" s="108">
        <f t="shared" si="6"/>
        <v>4508.2075427999998</v>
      </c>
      <c r="W16" s="108">
        <f t="shared" si="7"/>
        <v>2524.5962239679998</v>
      </c>
      <c r="X16" s="108">
        <f t="shared" si="8"/>
        <v>2149.2217500000002</v>
      </c>
      <c r="Y16" s="113">
        <f t="shared" si="9"/>
        <v>47.673531655224998</v>
      </c>
      <c r="Z16" s="114">
        <f t="shared" si="10"/>
        <v>1203.5641800000001</v>
      </c>
    </row>
    <row r="17" spans="1:26" ht="38.25" x14ac:dyDescent="0.25">
      <c r="A17" s="84" t="s">
        <v>53</v>
      </c>
      <c r="B17" s="85">
        <v>8</v>
      </c>
      <c r="C17" s="85">
        <v>716.36</v>
      </c>
      <c r="D17" s="85">
        <v>1160976.8</v>
      </c>
      <c r="E17" s="86">
        <f t="shared" si="0"/>
        <v>19349.613333333298</v>
      </c>
      <c r="F17" s="86">
        <f t="shared" si="1"/>
        <v>17414.651999999998</v>
      </c>
      <c r="G17" s="85">
        <v>0</v>
      </c>
      <c r="H17" s="86">
        <f t="shared" si="3"/>
        <v>36764.2653333333</v>
      </c>
      <c r="I17" s="86">
        <f t="shared" si="11"/>
        <v>40587.748928000001</v>
      </c>
      <c r="J17" s="86">
        <f t="shared" si="4"/>
        <v>3382.3124106666701</v>
      </c>
      <c r="K17" s="86">
        <f t="shared" si="5"/>
        <v>2367.6186874666701</v>
      </c>
      <c r="L17" s="86">
        <f>K17*L8</f>
        <v>1894.0949499733299</v>
      </c>
      <c r="M17" s="86">
        <f>K17*M8</f>
        <v>2130.8568187199999</v>
      </c>
      <c r="N17" s="86">
        <f>K17*N8</f>
        <v>2367.6186874666701</v>
      </c>
      <c r="O17" s="86"/>
      <c r="P17" s="86"/>
      <c r="Q17" s="86"/>
      <c r="R17" s="86"/>
      <c r="S17" s="106"/>
      <c r="T17" s="106"/>
      <c r="U17" s="109"/>
      <c r="V17" s="108">
        <f t="shared" si="6"/>
        <v>3382.3124106666701</v>
      </c>
      <c r="W17" s="108">
        <f t="shared" si="7"/>
        <v>1894.0949499733299</v>
      </c>
      <c r="X17" s="108">
        <f t="shared" si="8"/>
        <v>1612.4677777777799</v>
      </c>
      <c r="Y17" s="113">
        <f t="shared" si="9"/>
        <v>47.673531655224998</v>
      </c>
      <c r="Z17" s="114">
        <f t="shared" si="10"/>
        <v>902.98195555555503</v>
      </c>
    </row>
    <row r="18" spans="1:26" x14ac:dyDescent="0.25">
      <c r="B18" s="88" t="s">
        <v>54</v>
      </c>
      <c r="C18" s="88">
        <f t="shared" ref="C18:F18" si="12">SUM(C10:C17)</f>
        <v>10476.18</v>
      </c>
      <c r="D18" s="89">
        <f>SUM(D10:E17)</f>
        <v>12993416.2629833</v>
      </c>
      <c r="E18" s="89">
        <f t="shared" si="12"/>
        <v>213006.82398333299</v>
      </c>
      <c r="F18" s="89">
        <f t="shared" si="12"/>
        <v>191706.141585</v>
      </c>
      <c r="G18" s="88"/>
      <c r="H18" s="89">
        <f t="shared" ref="H18:N18" si="13">SUM(H10:H17)</f>
        <v>404712.96556833299</v>
      </c>
      <c r="I18" s="86">
        <f t="shared" si="11"/>
        <v>446803.11398744001</v>
      </c>
      <c r="J18" s="89">
        <f t="shared" si="13"/>
        <v>37233.592832286697</v>
      </c>
      <c r="K18" s="89">
        <f t="shared" si="13"/>
        <v>26063.5149826007</v>
      </c>
      <c r="L18" s="89">
        <f t="shared" si="13"/>
        <v>21594.167348237901</v>
      </c>
      <c r="M18" s="89">
        <f t="shared" si="13"/>
        <v>23457.163484340599</v>
      </c>
      <c r="N18" s="89">
        <f t="shared" si="13"/>
        <v>26063.5149826007</v>
      </c>
      <c r="O18" s="89"/>
      <c r="P18" s="89"/>
      <c r="Q18" s="89"/>
      <c r="R18" s="89"/>
      <c r="S18" s="110"/>
      <c r="T18" s="110"/>
      <c r="U18" s="96"/>
      <c r="V18" s="96">
        <f t="shared" ref="V18:Z18" si="14">SUM(V10:V17)</f>
        <v>37233.592832286697</v>
      </c>
      <c r="W18" s="96">
        <f t="shared" si="14"/>
        <v>21594.167348237901</v>
      </c>
      <c r="X18" s="96">
        <f t="shared" si="14"/>
        <v>17750.568665277799</v>
      </c>
      <c r="Y18" s="96">
        <f t="shared" si="14"/>
        <v>381.38825324179999</v>
      </c>
      <c r="Z18" s="96">
        <f t="shared" si="14"/>
        <v>10294.702206444401</v>
      </c>
    </row>
    <row r="20" spans="1:26" x14ac:dyDescent="0.25">
      <c r="H20" s="90"/>
    </row>
    <row r="21" spans="1:26" x14ac:dyDescent="0.25">
      <c r="B21" s="82" t="s">
        <v>42</v>
      </c>
    </row>
    <row r="23" spans="1:26" ht="175.15" customHeight="1" x14ac:dyDescent="0.25">
      <c r="B23" s="146" t="s">
        <v>3</v>
      </c>
      <c r="C23" s="146" t="s">
        <v>4</v>
      </c>
      <c r="D23" s="146" t="s">
        <v>5</v>
      </c>
      <c r="E23" s="146" t="s">
        <v>6</v>
      </c>
      <c r="F23" s="146" t="s">
        <v>7</v>
      </c>
      <c r="G23" s="146" t="s">
        <v>8</v>
      </c>
      <c r="H23" s="146" t="s">
        <v>9</v>
      </c>
      <c r="I23" s="97" t="s">
        <v>10</v>
      </c>
      <c r="J23" s="146" t="s">
        <v>11</v>
      </c>
      <c r="K23" s="97" t="s">
        <v>12</v>
      </c>
      <c r="L23" s="150" t="s">
        <v>13</v>
      </c>
      <c r="M23" s="151"/>
      <c r="N23" s="152"/>
      <c r="O23" s="146" t="s">
        <v>14</v>
      </c>
      <c r="P23" s="153" t="s">
        <v>15</v>
      </c>
      <c r="Q23" s="154"/>
      <c r="R23" s="154"/>
      <c r="S23" s="155"/>
      <c r="T23" s="148" t="s">
        <v>16</v>
      </c>
      <c r="U23" s="159" t="s">
        <v>17</v>
      </c>
      <c r="V23" s="156" t="s">
        <v>18</v>
      </c>
      <c r="W23" s="157"/>
      <c r="X23" s="157"/>
      <c r="Y23" s="158"/>
      <c r="Z23" s="144" t="s">
        <v>19</v>
      </c>
    </row>
    <row r="24" spans="1:26" ht="51" x14ac:dyDescent="0.25">
      <c r="B24" s="147"/>
      <c r="C24" s="147"/>
      <c r="D24" s="147"/>
      <c r="E24" s="147"/>
      <c r="F24" s="147"/>
      <c r="G24" s="147"/>
      <c r="H24" s="147"/>
      <c r="I24" s="97">
        <v>10.4</v>
      </c>
      <c r="J24" s="147"/>
      <c r="K24" s="97">
        <v>0.7</v>
      </c>
      <c r="L24" s="98">
        <v>0.8</v>
      </c>
      <c r="M24" s="99">
        <v>0.9</v>
      </c>
      <c r="N24" s="100">
        <v>1</v>
      </c>
      <c r="O24" s="147"/>
      <c r="P24" s="101">
        <v>0.1</v>
      </c>
      <c r="Q24" s="104">
        <v>0.2</v>
      </c>
      <c r="R24" s="104">
        <v>0.3</v>
      </c>
      <c r="S24" s="104">
        <v>0.1</v>
      </c>
      <c r="T24" s="149"/>
      <c r="U24" s="160"/>
      <c r="V24" s="105" t="s">
        <v>20</v>
      </c>
      <c r="W24" s="105" t="s">
        <v>21</v>
      </c>
      <c r="X24" s="105" t="s">
        <v>22</v>
      </c>
      <c r="Y24" s="105" t="s">
        <v>23</v>
      </c>
      <c r="Z24" s="145"/>
    </row>
    <row r="25" spans="1:26" x14ac:dyDescent="0.25">
      <c r="B25" s="83">
        <v>0</v>
      </c>
      <c r="C25" s="83">
        <v>1</v>
      </c>
      <c r="D25" s="83">
        <v>2</v>
      </c>
      <c r="E25" s="83" t="s">
        <v>24</v>
      </c>
      <c r="F25" s="83" t="s">
        <v>25</v>
      </c>
      <c r="G25" s="83" t="s">
        <v>26</v>
      </c>
      <c r="H25" s="83" t="s">
        <v>27</v>
      </c>
      <c r="I25" s="83" t="s">
        <v>28</v>
      </c>
      <c r="J25" s="83" t="s">
        <v>29</v>
      </c>
      <c r="K25" s="83" t="s">
        <v>30</v>
      </c>
      <c r="L25" s="83" t="s">
        <v>31</v>
      </c>
      <c r="M25" s="83" t="s">
        <v>32</v>
      </c>
      <c r="N25" s="83" t="s">
        <v>32</v>
      </c>
      <c r="O25" s="83">
        <v>10</v>
      </c>
      <c r="P25" s="102" t="s">
        <v>33</v>
      </c>
      <c r="Q25" s="102" t="s">
        <v>34</v>
      </c>
      <c r="R25" s="102" t="s">
        <v>35</v>
      </c>
      <c r="S25" s="102" t="s">
        <v>36</v>
      </c>
      <c r="T25" s="102" t="s">
        <v>37</v>
      </c>
      <c r="U25" s="102" t="s">
        <v>38</v>
      </c>
      <c r="V25" s="83">
        <v>13</v>
      </c>
      <c r="W25" s="102" t="s">
        <v>39</v>
      </c>
      <c r="X25" s="102" t="s">
        <v>40</v>
      </c>
      <c r="Y25" s="102" t="s">
        <v>41</v>
      </c>
      <c r="Z25" s="83">
        <v>14</v>
      </c>
    </row>
    <row r="26" spans="1:26" ht="38.25" x14ac:dyDescent="0.25">
      <c r="A26" s="84" t="s">
        <v>46</v>
      </c>
      <c r="B26" s="91">
        <v>1</v>
      </c>
      <c r="C26" s="85">
        <v>1515</v>
      </c>
      <c r="D26" s="85">
        <v>1808861.52</v>
      </c>
      <c r="E26" s="86">
        <f t="shared" ref="E26:E33" si="15">D26/60</f>
        <v>30147.691999999999</v>
      </c>
      <c r="F26" s="86">
        <f t="shared" ref="F26:F33" si="16">D26*1.5%</f>
        <v>27132.9228</v>
      </c>
      <c r="G26" s="92">
        <f t="shared" ref="G26:G33" si="17">D26*0.5%</f>
        <v>9044.3076000000001</v>
      </c>
      <c r="H26" s="92">
        <f t="shared" ref="H26:H33" si="18">E26+F26+G26</f>
        <v>66324.922399999996</v>
      </c>
      <c r="I26" s="92">
        <f t="shared" ref="I26:I33" si="19">H26*10.4%</f>
        <v>6897.7919296</v>
      </c>
      <c r="J26" s="92">
        <f t="shared" ref="J26:J33" si="20">I26/12</f>
        <v>574.81599413333299</v>
      </c>
      <c r="K26" s="92">
        <f>J26*K24</f>
        <v>402.37119589333298</v>
      </c>
      <c r="L26" s="86">
        <f>K26*L24</f>
        <v>321.896956714667</v>
      </c>
      <c r="M26" s="86">
        <f>K26*M24</f>
        <v>362.13407630400002</v>
      </c>
      <c r="N26" s="86">
        <f>K26*N24</f>
        <v>402.37119589333298</v>
      </c>
      <c r="O26" s="86"/>
      <c r="P26" s="86"/>
      <c r="Q26" s="86"/>
      <c r="R26" s="86"/>
      <c r="S26" s="106"/>
      <c r="T26" s="106"/>
      <c r="U26" s="107">
        <v>53</v>
      </c>
      <c r="V26" s="108">
        <f t="shared" ref="V26:V33" si="21">J26</f>
        <v>574.81599413333299</v>
      </c>
      <c r="W26" s="108">
        <f t="shared" ref="W26:W33" si="22">L26</f>
        <v>321.896956714667</v>
      </c>
      <c r="X26" s="108">
        <f t="shared" ref="X26:X34" si="23">E26/12</f>
        <v>2512.3076666666698</v>
      </c>
      <c r="Y26" s="113">
        <f t="shared" ref="Y26:Y33" si="24">(X26/V26)*100</f>
        <v>437.06293706293701</v>
      </c>
      <c r="Z26" s="114">
        <f t="shared" ref="Z26:Z33" si="25">W26*Y26%</f>
        <v>1406.8922933333299</v>
      </c>
    </row>
    <row r="27" spans="1:26" ht="38.25" x14ac:dyDescent="0.25">
      <c r="A27" s="84" t="s">
        <v>47</v>
      </c>
      <c r="B27" s="91">
        <v>2</v>
      </c>
      <c r="C27" s="85">
        <v>1515</v>
      </c>
      <c r="D27" s="85">
        <v>1808861.52</v>
      </c>
      <c r="E27" s="86">
        <f t="shared" si="15"/>
        <v>30147.691999999999</v>
      </c>
      <c r="F27" s="86">
        <f t="shared" si="16"/>
        <v>27132.9228</v>
      </c>
      <c r="G27" s="92">
        <f t="shared" si="17"/>
        <v>9044.3076000000001</v>
      </c>
      <c r="H27" s="92">
        <f t="shared" si="18"/>
        <v>66324.922399999996</v>
      </c>
      <c r="I27" s="92">
        <f t="shared" si="19"/>
        <v>6897.7919296</v>
      </c>
      <c r="J27" s="92">
        <f t="shared" si="20"/>
        <v>574.81599413333299</v>
      </c>
      <c r="K27" s="92">
        <f>J27*K24</f>
        <v>402.37119589333298</v>
      </c>
      <c r="L27" s="92">
        <f>K27*L24</f>
        <v>321.896956714667</v>
      </c>
      <c r="M27" s="92">
        <f>K27*M24</f>
        <v>362.13407630400002</v>
      </c>
      <c r="N27" s="103">
        <f>K27*N24</f>
        <v>402.37119589333298</v>
      </c>
      <c r="O27" s="103"/>
      <c r="P27" s="103"/>
      <c r="Q27" s="103"/>
      <c r="R27" s="103"/>
      <c r="S27" s="106"/>
      <c r="T27" s="106"/>
      <c r="U27" s="109"/>
      <c r="V27" s="108">
        <f t="shared" si="21"/>
        <v>574.81599413333299</v>
      </c>
      <c r="W27" s="108">
        <f t="shared" si="22"/>
        <v>321.896956714667</v>
      </c>
      <c r="X27" s="108">
        <f t="shared" si="23"/>
        <v>2512.3076666666698</v>
      </c>
      <c r="Y27" s="113">
        <f t="shared" si="24"/>
        <v>437.06293706293701</v>
      </c>
      <c r="Z27" s="114">
        <f t="shared" si="25"/>
        <v>1406.8922933333299</v>
      </c>
    </row>
    <row r="28" spans="1:26" ht="38.25" x14ac:dyDescent="0.25">
      <c r="A28" s="84" t="s">
        <v>48</v>
      </c>
      <c r="B28" s="93">
        <v>3</v>
      </c>
      <c r="C28" s="85">
        <v>1520</v>
      </c>
      <c r="D28" s="85">
        <v>1814833.08</v>
      </c>
      <c r="E28" s="86">
        <f t="shared" si="15"/>
        <v>30247.218000000001</v>
      </c>
      <c r="F28" s="86">
        <f t="shared" si="16"/>
        <v>27222.496200000001</v>
      </c>
      <c r="G28" s="92">
        <f t="shared" si="17"/>
        <v>9074.1653999999999</v>
      </c>
      <c r="H28" s="92">
        <f t="shared" si="18"/>
        <v>66543.8796</v>
      </c>
      <c r="I28" s="92">
        <f t="shared" si="19"/>
        <v>6920.5634784000003</v>
      </c>
      <c r="J28" s="92">
        <f t="shared" si="20"/>
        <v>576.71362320000003</v>
      </c>
      <c r="K28" s="92">
        <f>J28*K24</f>
        <v>403.69953623999999</v>
      </c>
      <c r="L28" s="92">
        <f>K28*L24</f>
        <v>322.95962899199998</v>
      </c>
      <c r="M28" s="92">
        <f>K28*M24</f>
        <v>363.32958261599998</v>
      </c>
      <c r="N28" s="103">
        <f>K28*N24</f>
        <v>403.69953623999999</v>
      </c>
      <c r="O28" s="103"/>
      <c r="P28" s="103"/>
      <c r="Q28" s="103"/>
      <c r="R28" s="103"/>
      <c r="S28" s="106"/>
      <c r="T28" s="106"/>
      <c r="U28" s="109"/>
      <c r="V28" s="108">
        <f t="shared" si="21"/>
        <v>576.71362320000003</v>
      </c>
      <c r="W28" s="108">
        <f t="shared" si="22"/>
        <v>322.95962899199998</v>
      </c>
      <c r="X28" s="108">
        <f t="shared" si="23"/>
        <v>2520.6015000000002</v>
      </c>
      <c r="Y28" s="113">
        <f t="shared" si="24"/>
        <v>437.06293706293701</v>
      </c>
      <c r="Z28" s="114">
        <f t="shared" si="25"/>
        <v>1411.53684</v>
      </c>
    </row>
    <row r="29" spans="1:26" ht="38.25" x14ac:dyDescent="0.25">
      <c r="A29" s="84" t="s">
        <v>49</v>
      </c>
      <c r="B29" s="93">
        <v>4</v>
      </c>
      <c r="C29" s="85">
        <v>1095</v>
      </c>
      <c r="D29" s="85">
        <v>1307394.969</v>
      </c>
      <c r="E29" s="86">
        <f t="shared" si="15"/>
        <v>21789.916150000001</v>
      </c>
      <c r="F29" s="86">
        <f t="shared" si="16"/>
        <v>19610.924534999998</v>
      </c>
      <c r="G29" s="92">
        <f t="shared" si="17"/>
        <v>6536.9748449999997</v>
      </c>
      <c r="H29" s="92">
        <f t="shared" si="18"/>
        <v>47937.81553</v>
      </c>
      <c r="I29" s="92">
        <f t="shared" si="19"/>
        <v>4985.5328151200001</v>
      </c>
      <c r="J29" s="92">
        <f t="shared" si="20"/>
        <v>415.461067926667</v>
      </c>
      <c r="K29" s="92">
        <f>J29*K24</f>
        <v>290.822747548667</v>
      </c>
      <c r="L29" s="92">
        <f>K29*L24</f>
        <v>232.65819803893299</v>
      </c>
      <c r="M29" s="92">
        <f>K29*M24</f>
        <v>261.7404727938</v>
      </c>
      <c r="N29" s="103">
        <f>K29*N24</f>
        <v>290.822747548667</v>
      </c>
      <c r="O29" s="103"/>
      <c r="P29" s="103"/>
      <c r="Q29" s="103"/>
      <c r="R29" s="103"/>
      <c r="S29" s="106"/>
      <c r="T29" s="106"/>
      <c r="U29" s="109"/>
      <c r="V29" s="108">
        <f t="shared" si="21"/>
        <v>415.461067926667</v>
      </c>
      <c r="W29" s="108">
        <f t="shared" si="22"/>
        <v>232.65819803893299</v>
      </c>
      <c r="X29" s="108">
        <f t="shared" si="23"/>
        <v>1815.8263458333299</v>
      </c>
      <c r="Y29" s="113">
        <f t="shared" si="24"/>
        <v>437.06293706293701</v>
      </c>
      <c r="Z29" s="114">
        <f t="shared" si="25"/>
        <v>1016.86275366667</v>
      </c>
    </row>
    <row r="30" spans="1:26" ht="38.25" x14ac:dyDescent="0.25">
      <c r="A30" s="84" t="s">
        <v>50</v>
      </c>
      <c r="B30" s="93">
        <v>5</v>
      </c>
      <c r="C30" s="85">
        <v>1585</v>
      </c>
      <c r="D30" s="85">
        <v>1509496.87</v>
      </c>
      <c r="E30" s="86">
        <f t="shared" si="15"/>
        <v>25158.2811666667</v>
      </c>
      <c r="F30" s="86">
        <f t="shared" si="16"/>
        <v>22642.45305</v>
      </c>
      <c r="G30" s="92">
        <f t="shared" si="17"/>
        <v>7547.4843499999997</v>
      </c>
      <c r="H30" s="92">
        <f t="shared" si="18"/>
        <v>55348.218566666699</v>
      </c>
      <c r="I30" s="92">
        <f t="shared" si="19"/>
        <v>5756.2147309333304</v>
      </c>
      <c r="J30" s="92">
        <f t="shared" si="20"/>
        <v>479.68456091111102</v>
      </c>
      <c r="K30" s="92">
        <f>J30*K24</f>
        <v>335.77919263777801</v>
      </c>
      <c r="L30" s="92">
        <f>K30*L24</f>
        <v>268.62335411022201</v>
      </c>
      <c r="M30" s="92">
        <f>K30*M24</f>
        <v>302.20127337399998</v>
      </c>
      <c r="N30" s="103">
        <f>K30*N24</f>
        <v>335.77919263777801</v>
      </c>
      <c r="O30" s="103"/>
      <c r="P30" s="103"/>
      <c r="Q30" s="103"/>
      <c r="R30" s="103"/>
      <c r="S30" s="106"/>
      <c r="T30" s="106"/>
      <c r="U30" s="109"/>
      <c r="V30" s="108">
        <f t="shared" si="21"/>
        <v>479.68456091111102</v>
      </c>
      <c r="W30" s="108">
        <f t="shared" si="22"/>
        <v>268.62335411022201</v>
      </c>
      <c r="X30" s="108">
        <f t="shared" si="23"/>
        <v>2096.52343055556</v>
      </c>
      <c r="Y30" s="113">
        <f t="shared" si="24"/>
        <v>437.06293706293701</v>
      </c>
      <c r="Z30" s="114">
        <f t="shared" si="25"/>
        <v>1174.0531211111099</v>
      </c>
    </row>
    <row r="31" spans="1:26" ht="38.25" x14ac:dyDescent="0.25">
      <c r="A31" s="84" t="s">
        <v>51</v>
      </c>
      <c r="B31" s="91">
        <v>6</v>
      </c>
      <c r="C31" s="85">
        <v>1575</v>
      </c>
      <c r="D31" s="86">
        <v>1822545.02</v>
      </c>
      <c r="E31" s="86">
        <f t="shared" si="15"/>
        <v>30375.750333333301</v>
      </c>
      <c r="F31" s="86">
        <f t="shared" si="16"/>
        <v>27338.175299999999</v>
      </c>
      <c r="G31" s="92">
        <f t="shared" si="17"/>
        <v>9112.7250999999997</v>
      </c>
      <c r="H31" s="92">
        <f t="shared" si="18"/>
        <v>66826.650733333299</v>
      </c>
      <c r="I31" s="92">
        <f t="shared" si="19"/>
        <v>6949.9716762666703</v>
      </c>
      <c r="J31" s="92">
        <f t="shared" si="20"/>
        <v>579.16430635555605</v>
      </c>
      <c r="K31" s="92">
        <f>J31*K24</f>
        <v>405.415014448889</v>
      </c>
      <c r="L31" s="92">
        <f>K31*L24</f>
        <v>324.33201155911098</v>
      </c>
      <c r="M31" s="92">
        <f>K31*M24</f>
        <v>364.87351300400002</v>
      </c>
      <c r="N31" s="103">
        <f>K31*N24</f>
        <v>405.415014448889</v>
      </c>
      <c r="O31" s="103"/>
      <c r="P31" s="103"/>
      <c r="Q31" s="103"/>
      <c r="R31" s="103"/>
      <c r="S31" s="106"/>
      <c r="T31" s="106"/>
      <c r="U31" s="109"/>
      <c r="V31" s="108">
        <f t="shared" si="21"/>
        <v>579.16430635555605</v>
      </c>
      <c r="W31" s="108">
        <f t="shared" si="22"/>
        <v>324.33201155911098</v>
      </c>
      <c r="X31" s="108">
        <f t="shared" si="23"/>
        <v>2531.3125277777799</v>
      </c>
      <c r="Y31" s="113">
        <f t="shared" si="24"/>
        <v>437.06293706293701</v>
      </c>
      <c r="Z31" s="114">
        <f t="shared" si="25"/>
        <v>1417.53501555556</v>
      </c>
    </row>
    <row r="32" spans="1:26" ht="38.25" x14ac:dyDescent="0.25">
      <c r="A32" s="84" t="s">
        <v>52</v>
      </c>
      <c r="B32" s="91">
        <v>7</v>
      </c>
      <c r="C32" s="85">
        <v>954.82</v>
      </c>
      <c r="D32" s="85">
        <v>1547439.66</v>
      </c>
      <c r="E32" s="86">
        <f t="shared" si="15"/>
        <v>25790.661</v>
      </c>
      <c r="F32" s="86">
        <f t="shared" si="16"/>
        <v>23211.5949</v>
      </c>
      <c r="G32" s="92">
        <f t="shared" si="17"/>
        <v>7737.1983</v>
      </c>
      <c r="H32" s="92">
        <f t="shared" si="18"/>
        <v>56739.4542</v>
      </c>
      <c r="I32" s="92">
        <f t="shared" si="19"/>
        <v>5900.9032367999998</v>
      </c>
      <c r="J32" s="92">
        <f t="shared" si="20"/>
        <v>491.74193639999999</v>
      </c>
      <c r="K32" s="92">
        <f>J32*K24</f>
        <v>344.21935547999999</v>
      </c>
      <c r="L32" s="92">
        <f>K32*L24</f>
        <v>275.375484384</v>
      </c>
      <c r="M32" s="92">
        <f>K32*M24</f>
        <v>309.79741993200003</v>
      </c>
      <c r="N32" s="103">
        <f>K32*N24</f>
        <v>344.21935547999999</v>
      </c>
      <c r="O32" s="103"/>
      <c r="P32" s="103"/>
      <c r="Q32" s="103"/>
      <c r="R32" s="103"/>
      <c r="S32" s="106"/>
      <c r="T32" s="106"/>
      <c r="U32" s="109"/>
      <c r="V32" s="108">
        <f t="shared" si="21"/>
        <v>491.74193639999999</v>
      </c>
      <c r="W32" s="108">
        <f t="shared" si="22"/>
        <v>275.375484384</v>
      </c>
      <c r="X32" s="108">
        <f t="shared" si="23"/>
        <v>2149.2217500000002</v>
      </c>
      <c r="Y32" s="113">
        <f t="shared" si="24"/>
        <v>437.06293706293701</v>
      </c>
      <c r="Z32" s="114">
        <f t="shared" si="25"/>
        <v>1203.5641800000001</v>
      </c>
    </row>
    <row r="33" spans="1:26" ht="38.25" x14ac:dyDescent="0.25">
      <c r="A33" s="84" t="s">
        <v>53</v>
      </c>
      <c r="B33" s="91">
        <v>8</v>
      </c>
      <c r="C33" s="85">
        <v>716.36</v>
      </c>
      <c r="D33" s="85">
        <v>1160976.8</v>
      </c>
      <c r="E33" s="86">
        <f t="shared" si="15"/>
        <v>19349.613333333298</v>
      </c>
      <c r="F33" s="86">
        <f t="shared" si="16"/>
        <v>17414.651999999998</v>
      </c>
      <c r="G33" s="91">
        <f t="shared" si="17"/>
        <v>5804.884</v>
      </c>
      <c r="H33" s="92">
        <f t="shared" si="18"/>
        <v>42569.149333333298</v>
      </c>
      <c r="I33" s="92">
        <f t="shared" si="19"/>
        <v>4427.1915306666697</v>
      </c>
      <c r="J33" s="92">
        <f t="shared" si="20"/>
        <v>368.932627555556</v>
      </c>
      <c r="K33" s="92">
        <f>J33*K24</f>
        <v>258.25283928888899</v>
      </c>
      <c r="L33" s="92">
        <f>K33*L24</f>
        <v>206.60227143111101</v>
      </c>
      <c r="M33" s="92">
        <f>K33*M24</f>
        <v>232.42755536000001</v>
      </c>
      <c r="N33" s="103">
        <f>K33*N24</f>
        <v>258.25283928888899</v>
      </c>
      <c r="O33" s="103"/>
      <c r="P33" s="103"/>
      <c r="Q33" s="103"/>
      <c r="R33" s="103"/>
      <c r="S33" s="106"/>
      <c r="T33" s="106"/>
      <c r="U33" s="111"/>
      <c r="V33" s="108">
        <f t="shared" si="21"/>
        <v>368.932627555556</v>
      </c>
      <c r="W33" s="108">
        <f t="shared" si="22"/>
        <v>206.60227143111101</v>
      </c>
      <c r="X33" s="108">
        <f t="shared" si="23"/>
        <v>1612.4677777777799</v>
      </c>
      <c r="Y33" s="113">
        <f t="shared" si="24"/>
        <v>437.06293706293701</v>
      </c>
      <c r="Z33" s="114">
        <f t="shared" si="25"/>
        <v>902.98195555555606</v>
      </c>
    </row>
    <row r="34" spans="1:26" ht="30.6" customHeight="1" x14ac:dyDescent="0.25">
      <c r="B34" s="94" t="s">
        <v>54</v>
      </c>
      <c r="C34" s="95">
        <f t="shared" ref="C34:I34" si="26">SUM(C26:C33)</f>
        <v>10476.18</v>
      </c>
      <c r="D34" s="95">
        <f t="shared" si="26"/>
        <v>12780409.438999999</v>
      </c>
      <c r="E34" s="96">
        <f t="shared" si="26"/>
        <v>213006.82398333299</v>
      </c>
      <c r="F34" s="96">
        <f t="shared" si="26"/>
        <v>191706.141585</v>
      </c>
      <c r="G34" s="96">
        <f t="shared" si="26"/>
        <v>63902.047194999999</v>
      </c>
      <c r="H34" s="96">
        <f t="shared" si="26"/>
        <v>468615.01276333298</v>
      </c>
      <c r="I34" s="96">
        <f t="shared" si="26"/>
        <v>48735.9613273867</v>
      </c>
      <c r="J34" s="96">
        <f>SUM(K26:K33)</f>
        <v>2842.9310774308901</v>
      </c>
      <c r="K34" s="96">
        <f t="shared" ref="K34:N34" si="27">SUM(K26:K33)</f>
        <v>2842.9310774308901</v>
      </c>
      <c r="L34" s="96">
        <f t="shared" si="27"/>
        <v>2274.3448619447099</v>
      </c>
      <c r="M34" s="96">
        <f t="shared" si="27"/>
        <v>2558.6379696877998</v>
      </c>
      <c r="N34" s="96">
        <f t="shared" si="27"/>
        <v>2842.9310774308901</v>
      </c>
      <c r="O34" s="95"/>
      <c r="P34" s="95"/>
      <c r="Q34" s="95"/>
      <c r="R34" s="95"/>
      <c r="S34" s="89"/>
      <c r="T34" s="89"/>
      <c r="U34" s="95"/>
      <c r="V34" s="112">
        <f t="shared" ref="V34:Z34" si="28">SUM(V26:V33)</f>
        <v>4061.33011061556</v>
      </c>
      <c r="W34" s="112">
        <f t="shared" si="28"/>
        <v>2274.3448619447099</v>
      </c>
      <c r="X34" s="112">
        <f t="shared" si="23"/>
        <v>17750.568665277799</v>
      </c>
      <c r="Y34" s="114">
        <f t="shared" si="28"/>
        <v>3496.5034965035002</v>
      </c>
      <c r="Z34" s="114">
        <f t="shared" si="28"/>
        <v>9940.3184525555607</v>
      </c>
    </row>
  </sheetData>
  <mergeCells count="30">
    <mergeCell ref="U7:U8"/>
    <mergeCell ref="U23:U24"/>
    <mergeCell ref="B7:B8"/>
    <mergeCell ref="B23:B24"/>
    <mergeCell ref="C7:C8"/>
    <mergeCell ref="C23:C24"/>
    <mergeCell ref="D7:D8"/>
    <mergeCell ref="D23:D24"/>
    <mergeCell ref="E7:E8"/>
    <mergeCell ref="E23:E24"/>
    <mergeCell ref="F7:F8"/>
    <mergeCell ref="F23:F24"/>
    <mergeCell ref="G7:G8"/>
    <mergeCell ref="G23:G24"/>
    <mergeCell ref="Z7:Z8"/>
    <mergeCell ref="Z23:Z24"/>
    <mergeCell ref="H7:H8"/>
    <mergeCell ref="H23:H24"/>
    <mergeCell ref="J7:J8"/>
    <mergeCell ref="J23:J24"/>
    <mergeCell ref="O7:O8"/>
    <mergeCell ref="O23:O24"/>
    <mergeCell ref="L7:N7"/>
    <mergeCell ref="P7:S7"/>
    <mergeCell ref="V7:Y7"/>
    <mergeCell ref="L23:N23"/>
    <mergeCell ref="P23:S23"/>
    <mergeCell ref="V23:Y23"/>
    <mergeCell ref="T7:T8"/>
    <mergeCell ref="T23:T24"/>
  </mergeCells>
  <pageMargins left="0.75" right="0.75" top="0.97916666666666696" bottom="0.97916666666666696" header="0.50902777777777797" footer="0.50902777777777797"/>
  <pageSetup paperSize="256" fitToWidth="0" fitToHeight="0" orientation="portrait" useFirstPageNumber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11"/>
  <sheetViews>
    <sheetView topLeftCell="G202" zoomScale="80" zoomScaleNormal="80" workbookViewId="0">
      <selection activeCell="AB220" sqref="AB220"/>
    </sheetView>
  </sheetViews>
  <sheetFormatPr defaultColWidth="9.140625" defaultRowHeight="12.75" x14ac:dyDescent="0.25"/>
  <cols>
    <col min="1" max="1" width="8" style="1" customWidth="1"/>
    <col min="2" max="2" width="13.7109375" style="1" customWidth="1"/>
    <col min="3" max="3" width="15.140625" style="1" customWidth="1"/>
    <col min="4" max="4" width="16.85546875" style="1" customWidth="1"/>
    <col min="5" max="5" width="12.85546875" style="1"/>
    <col min="6" max="6" width="16.42578125" style="1" customWidth="1"/>
    <col min="7" max="7" width="13.28515625" style="1" customWidth="1"/>
    <col min="8" max="8" width="14.7109375" style="1" customWidth="1"/>
    <col min="9" max="9" width="11.140625" style="1" customWidth="1"/>
    <col min="10" max="10" width="13.140625" style="1" customWidth="1"/>
    <col min="11" max="11" width="12.5703125" style="1" customWidth="1"/>
    <col min="12" max="13" width="12.5703125" style="1" hidden="1" customWidth="1"/>
    <col min="14" max="14" width="12.7109375" style="1" customWidth="1"/>
    <col min="15" max="15" width="11.42578125" style="1" customWidth="1"/>
    <col min="16" max="16" width="10.42578125" style="1" customWidth="1"/>
    <col min="17" max="18" width="12.28515625" style="1" customWidth="1"/>
    <col min="19" max="19" width="9.140625" style="1" customWidth="1"/>
    <col min="20" max="20" width="7" style="1" customWidth="1"/>
    <col min="21" max="21" width="9.28515625" style="1" customWidth="1"/>
    <col min="22" max="22" width="7" style="1" customWidth="1"/>
    <col min="23" max="23" width="10.5703125" style="1" customWidth="1"/>
    <col min="24" max="29" width="13.140625" style="1" customWidth="1"/>
    <col min="30" max="30" width="13" style="1" customWidth="1"/>
    <col min="31" max="31" width="10.85546875" style="1" customWidth="1"/>
    <col min="32" max="32" width="10.5703125" style="1" customWidth="1"/>
    <col min="33" max="33" width="10.28515625" style="1" customWidth="1"/>
    <col min="34" max="269" width="9.140625" style="1"/>
    <col min="270" max="270" width="11.28515625" style="1" customWidth="1"/>
    <col min="271" max="271" width="13.28515625" style="1" customWidth="1"/>
    <col min="272" max="272" width="10.7109375" style="1" customWidth="1"/>
    <col min="273" max="273" width="9.5703125" style="1" customWidth="1"/>
    <col min="274" max="275" width="9.140625" style="1"/>
    <col min="276" max="276" width="12.7109375" style="1" customWidth="1"/>
    <col min="277" max="277" width="10.7109375" style="1" customWidth="1"/>
    <col min="278" max="278" width="12.5703125" style="1" customWidth="1"/>
    <col min="279" max="279" width="9.140625" style="1"/>
    <col min="280" max="280" width="11" style="1" customWidth="1"/>
    <col min="281" max="281" width="10.85546875" style="1" customWidth="1"/>
    <col min="282" max="525" width="9.140625" style="1"/>
    <col min="526" max="526" width="11.28515625" style="1" customWidth="1"/>
    <col min="527" max="527" width="13.28515625" style="1" customWidth="1"/>
    <col min="528" max="528" width="10.7109375" style="1" customWidth="1"/>
    <col min="529" max="529" width="9.5703125" style="1" customWidth="1"/>
    <col min="530" max="531" width="9.140625" style="1"/>
    <col min="532" max="532" width="12.7109375" style="1" customWidth="1"/>
    <col min="533" max="533" width="10.7109375" style="1" customWidth="1"/>
    <col min="534" max="534" width="12.5703125" style="1" customWidth="1"/>
    <col min="535" max="535" width="9.140625" style="1"/>
    <col min="536" max="536" width="11" style="1" customWidth="1"/>
    <col min="537" max="537" width="10.85546875" style="1" customWidth="1"/>
    <col min="538" max="781" width="9.140625" style="1"/>
    <col min="782" max="782" width="11.28515625" style="1" customWidth="1"/>
    <col min="783" max="783" width="13.28515625" style="1" customWidth="1"/>
    <col min="784" max="784" width="10.7109375" style="1" customWidth="1"/>
    <col min="785" max="785" width="9.5703125" style="1" customWidth="1"/>
    <col min="786" max="787" width="9.140625" style="1"/>
    <col min="788" max="788" width="12.7109375" style="1" customWidth="1"/>
    <col min="789" max="789" width="10.7109375" style="1" customWidth="1"/>
    <col min="790" max="790" width="12.5703125" style="1" customWidth="1"/>
    <col min="791" max="791" width="9.140625" style="1"/>
    <col min="792" max="792" width="11" style="1" customWidth="1"/>
    <col min="793" max="793" width="10.85546875" style="1" customWidth="1"/>
    <col min="794" max="1037" width="9.140625" style="1"/>
    <col min="1038" max="1038" width="11.28515625" style="1" customWidth="1"/>
    <col min="1039" max="1039" width="13.28515625" style="1" customWidth="1"/>
    <col min="1040" max="1040" width="10.7109375" style="1" customWidth="1"/>
    <col min="1041" max="1041" width="9.5703125" style="1" customWidth="1"/>
    <col min="1042" max="1043" width="9.140625" style="1"/>
    <col min="1044" max="1044" width="12.7109375" style="1" customWidth="1"/>
    <col min="1045" max="1045" width="10.7109375" style="1" customWidth="1"/>
    <col min="1046" max="1046" width="12.5703125" style="1" customWidth="1"/>
    <col min="1047" max="1047" width="9.140625" style="1"/>
    <col min="1048" max="1048" width="11" style="1" customWidth="1"/>
    <col min="1049" max="1049" width="10.85546875" style="1" customWidth="1"/>
    <col min="1050" max="1293" width="9.140625" style="1"/>
    <col min="1294" max="1294" width="11.28515625" style="1" customWidth="1"/>
    <col min="1295" max="1295" width="13.28515625" style="1" customWidth="1"/>
    <col min="1296" max="1296" width="10.7109375" style="1" customWidth="1"/>
    <col min="1297" max="1297" width="9.5703125" style="1" customWidth="1"/>
    <col min="1298" max="1299" width="9.140625" style="1"/>
    <col min="1300" max="1300" width="12.7109375" style="1" customWidth="1"/>
    <col min="1301" max="1301" width="10.7109375" style="1" customWidth="1"/>
    <col min="1302" max="1302" width="12.5703125" style="1" customWidth="1"/>
    <col min="1303" max="1303" width="9.140625" style="1"/>
    <col min="1304" max="1304" width="11" style="1" customWidth="1"/>
    <col min="1305" max="1305" width="10.85546875" style="1" customWidth="1"/>
    <col min="1306" max="1549" width="9.140625" style="1"/>
    <col min="1550" max="1550" width="11.28515625" style="1" customWidth="1"/>
    <col min="1551" max="1551" width="13.28515625" style="1" customWidth="1"/>
    <col min="1552" max="1552" width="10.7109375" style="1" customWidth="1"/>
    <col min="1553" max="1553" width="9.5703125" style="1" customWidth="1"/>
    <col min="1554" max="1555" width="9.140625" style="1"/>
    <col min="1556" max="1556" width="12.7109375" style="1" customWidth="1"/>
    <col min="1557" max="1557" width="10.7109375" style="1" customWidth="1"/>
    <col min="1558" max="1558" width="12.5703125" style="1" customWidth="1"/>
    <col min="1559" max="1559" width="9.140625" style="1"/>
    <col min="1560" max="1560" width="11" style="1" customWidth="1"/>
    <col min="1561" max="1561" width="10.85546875" style="1" customWidth="1"/>
    <col min="1562" max="1805" width="9.140625" style="1"/>
    <col min="1806" max="1806" width="11.28515625" style="1" customWidth="1"/>
    <col min="1807" max="1807" width="13.28515625" style="1" customWidth="1"/>
    <col min="1808" max="1808" width="10.7109375" style="1" customWidth="1"/>
    <col min="1809" max="1809" width="9.5703125" style="1" customWidth="1"/>
    <col min="1810" max="1811" width="9.140625" style="1"/>
    <col min="1812" max="1812" width="12.7109375" style="1" customWidth="1"/>
    <col min="1813" max="1813" width="10.7109375" style="1" customWidth="1"/>
    <col min="1814" max="1814" width="12.5703125" style="1" customWidth="1"/>
    <col min="1815" max="1815" width="9.140625" style="1"/>
    <col min="1816" max="1816" width="11" style="1" customWidth="1"/>
    <col min="1817" max="1817" width="10.85546875" style="1" customWidth="1"/>
    <col min="1818" max="2061" width="9.140625" style="1"/>
    <col min="2062" max="2062" width="11.28515625" style="1" customWidth="1"/>
    <col min="2063" max="2063" width="13.28515625" style="1" customWidth="1"/>
    <col min="2064" max="2064" width="10.7109375" style="1" customWidth="1"/>
    <col min="2065" max="2065" width="9.5703125" style="1" customWidth="1"/>
    <col min="2066" max="2067" width="9.140625" style="1"/>
    <col min="2068" max="2068" width="12.7109375" style="1" customWidth="1"/>
    <col min="2069" max="2069" width="10.7109375" style="1" customWidth="1"/>
    <col min="2070" max="2070" width="12.5703125" style="1" customWidth="1"/>
    <col min="2071" max="2071" width="9.140625" style="1"/>
    <col min="2072" max="2072" width="11" style="1" customWidth="1"/>
    <col min="2073" max="2073" width="10.85546875" style="1" customWidth="1"/>
    <col min="2074" max="2317" width="9.140625" style="1"/>
    <col min="2318" max="2318" width="11.28515625" style="1" customWidth="1"/>
    <col min="2319" max="2319" width="13.28515625" style="1" customWidth="1"/>
    <col min="2320" max="2320" width="10.7109375" style="1" customWidth="1"/>
    <col min="2321" max="2321" width="9.5703125" style="1" customWidth="1"/>
    <col min="2322" max="2323" width="9.140625" style="1"/>
    <col min="2324" max="2324" width="12.7109375" style="1" customWidth="1"/>
    <col min="2325" max="2325" width="10.7109375" style="1" customWidth="1"/>
    <col min="2326" max="2326" width="12.5703125" style="1" customWidth="1"/>
    <col min="2327" max="2327" width="9.140625" style="1"/>
    <col min="2328" max="2328" width="11" style="1" customWidth="1"/>
    <col min="2329" max="2329" width="10.85546875" style="1" customWidth="1"/>
    <col min="2330" max="2573" width="9.140625" style="1"/>
    <col min="2574" max="2574" width="11.28515625" style="1" customWidth="1"/>
    <col min="2575" max="2575" width="13.28515625" style="1" customWidth="1"/>
    <col min="2576" max="2576" width="10.7109375" style="1" customWidth="1"/>
    <col min="2577" max="2577" width="9.5703125" style="1" customWidth="1"/>
    <col min="2578" max="2579" width="9.140625" style="1"/>
    <col min="2580" max="2580" width="12.7109375" style="1" customWidth="1"/>
    <col min="2581" max="2581" width="10.7109375" style="1" customWidth="1"/>
    <col min="2582" max="2582" width="12.5703125" style="1" customWidth="1"/>
    <col min="2583" max="2583" width="9.140625" style="1"/>
    <col min="2584" max="2584" width="11" style="1" customWidth="1"/>
    <col min="2585" max="2585" width="10.85546875" style="1" customWidth="1"/>
    <col min="2586" max="2829" width="9.140625" style="1"/>
    <col min="2830" max="2830" width="11.28515625" style="1" customWidth="1"/>
    <col min="2831" max="2831" width="13.28515625" style="1" customWidth="1"/>
    <col min="2832" max="2832" width="10.7109375" style="1" customWidth="1"/>
    <col min="2833" max="2833" width="9.5703125" style="1" customWidth="1"/>
    <col min="2834" max="2835" width="9.140625" style="1"/>
    <col min="2836" max="2836" width="12.7109375" style="1" customWidth="1"/>
    <col min="2837" max="2837" width="10.7109375" style="1" customWidth="1"/>
    <col min="2838" max="2838" width="12.5703125" style="1" customWidth="1"/>
    <col min="2839" max="2839" width="9.140625" style="1"/>
    <col min="2840" max="2840" width="11" style="1" customWidth="1"/>
    <col min="2841" max="2841" width="10.85546875" style="1" customWidth="1"/>
    <col min="2842" max="3085" width="9.140625" style="1"/>
    <col min="3086" max="3086" width="11.28515625" style="1" customWidth="1"/>
    <col min="3087" max="3087" width="13.28515625" style="1" customWidth="1"/>
    <col min="3088" max="3088" width="10.7109375" style="1" customWidth="1"/>
    <col min="3089" max="3089" width="9.5703125" style="1" customWidth="1"/>
    <col min="3090" max="3091" width="9.140625" style="1"/>
    <col min="3092" max="3092" width="12.7109375" style="1" customWidth="1"/>
    <col min="3093" max="3093" width="10.7109375" style="1" customWidth="1"/>
    <col min="3094" max="3094" width="12.5703125" style="1" customWidth="1"/>
    <col min="3095" max="3095" width="9.140625" style="1"/>
    <col min="3096" max="3096" width="11" style="1" customWidth="1"/>
    <col min="3097" max="3097" width="10.85546875" style="1" customWidth="1"/>
    <col min="3098" max="3341" width="9.140625" style="1"/>
    <col min="3342" max="3342" width="11.28515625" style="1" customWidth="1"/>
    <col min="3343" max="3343" width="13.28515625" style="1" customWidth="1"/>
    <col min="3344" max="3344" width="10.7109375" style="1" customWidth="1"/>
    <col min="3345" max="3345" width="9.5703125" style="1" customWidth="1"/>
    <col min="3346" max="3347" width="9.140625" style="1"/>
    <col min="3348" max="3348" width="12.7109375" style="1" customWidth="1"/>
    <col min="3349" max="3349" width="10.7109375" style="1" customWidth="1"/>
    <col min="3350" max="3350" width="12.5703125" style="1" customWidth="1"/>
    <col min="3351" max="3351" width="9.140625" style="1"/>
    <col min="3352" max="3352" width="11" style="1" customWidth="1"/>
    <col min="3353" max="3353" width="10.85546875" style="1" customWidth="1"/>
    <col min="3354" max="3597" width="9.140625" style="1"/>
    <col min="3598" max="3598" width="11.28515625" style="1" customWidth="1"/>
    <col min="3599" max="3599" width="13.28515625" style="1" customWidth="1"/>
    <col min="3600" max="3600" width="10.7109375" style="1" customWidth="1"/>
    <col min="3601" max="3601" width="9.5703125" style="1" customWidth="1"/>
    <col min="3602" max="3603" width="9.140625" style="1"/>
    <col min="3604" max="3604" width="12.7109375" style="1" customWidth="1"/>
    <col min="3605" max="3605" width="10.7109375" style="1" customWidth="1"/>
    <col min="3606" max="3606" width="12.5703125" style="1" customWidth="1"/>
    <col min="3607" max="3607" width="9.140625" style="1"/>
    <col min="3608" max="3608" width="11" style="1" customWidth="1"/>
    <col min="3609" max="3609" width="10.85546875" style="1" customWidth="1"/>
    <col min="3610" max="3853" width="9.140625" style="1"/>
    <col min="3854" max="3854" width="11.28515625" style="1" customWidth="1"/>
    <col min="3855" max="3855" width="13.28515625" style="1" customWidth="1"/>
    <col min="3856" max="3856" width="10.7109375" style="1" customWidth="1"/>
    <col min="3857" max="3857" width="9.5703125" style="1" customWidth="1"/>
    <col min="3858" max="3859" width="9.140625" style="1"/>
    <col min="3860" max="3860" width="12.7109375" style="1" customWidth="1"/>
    <col min="3861" max="3861" width="10.7109375" style="1" customWidth="1"/>
    <col min="3862" max="3862" width="12.5703125" style="1" customWidth="1"/>
    <col min="3863" max="3863" width="9.140625" style="1"/>
    <col min="3864" max="3864" width="11" style="1" customWidth="1"/>
    <col min="3865" max="3865" width="10.85546875" style="1" customWidth="1"/>
    <col min="3866" max="4109" width="9.140625" style="1"/>
    <col min="4110" max="4110" width="11.28515625" style="1" customWidth="1"/>
    <col min="4111" max="4111" width="13.28515625" style="1" customWidth="1"/>
    <col min="4112" max="4112" width="10.7109375" style="1" customWidth="1"/>
    <col min="4113" max="4113" width="9.5703125" style="1" customWidth="1"/>
    <col min="4114" max="4115" width="9.140625" style="1"/>
    <col min="4116" max="4116" width="12.7109375" style="1" customWidth="1"/>
    <col min="4117" max="4117" width="10.7109375" style="1" customWidth="1"/>
    <col min="4118" max="4118" width="12.5703125" style="1" customWidth="1"/>
    <col min="4119" max="4119" width="9.140625" style="1"/>
    <col min="4120" max="4120" width="11" style="1" customWidth="1"/>
    <col min="4121" max="4121" width="10.85546875" style="1" customWidth="1"/>
    <col min="4122" max="4365" width="9.140625" style="1"/>
    <col min="4366" max="4366" width="11.28515625" style="1" customWidth="1"/>
    <col min="4367" max="4367" width="13.28515625" style="1" customWidth="1"/>
    <col min="4368" max="4368" width="10.7109375" style="1" customWidth="1"/>
    <col min="4369" max="4369" width="9.5703125" style="1" customWidth="1"/>
    <col min="4370" max="4371" width="9.140625" style="1"/>
    <col min="4372" max="4372" width="12.7109375" style="1" customWidth="1"/>
    <col min="4373" max="4373" width="10.7109375" style="1" customWidth="1"/>
    <col min="4374" max="4374" width="12.5703125" style="1" customWidth="1"/>
    <col min="4375" max="4375" width="9.140625" style="1"/>
    <col min="4376" max="4376" width="11" style="1" customWidth="1"/>
    <col min="4377" max="4377" width="10.85546875" style="1" customWidth="1"/>
    <col min="4378" max="4621" width="9.140625" style="1"/>
    <col min="4622" max="4622" width="11.28515625" style="1" customWidth="1"/>
    <col min="4623" max="4623" width="13.28515625" style="1" customWidth="1"/>
    <col min="4624" max="4624" width="10.7109375" style="1" customWidth="1"/>
    <col min="4625" max="4625" width="9.5703125" style="1" customWidth="1"/>
    <col min="4626" max="4627" width="9.140625" style="1"/>
    <col min="4628" max="4628" width="12.7109375" style="1" customWidth="1"/>
    <col min="4629" max="4629" width="10.7109375" style="1" customWidth="1"/>
    <col min="4630" max="4630" width="12.5703125" style="1" customWidth="1"/>
    <col min="4631" max="4631" width="9.140625" style="1"/>
    <col min="4632" max="4632" width="11" style="1" customWidth="1"/>
    <col min="4633" max="4633" width="10.85546875" style="1" customWidth="1"/>
    <col min="4634" max="4877" width="9.140625" style="1"/>
    <col min="4878" max="4878" width="11.28515625" style="1" customWidth="1"/>
    <col min="4879" max="4879" width="13.28515625" style="1" customWidth="1"/>
    <col min="4880" max="4880" width="10.7109375" style="1" customWidth="1"/>
    <col min="4881" max="4881" width="9.5703125" style="1" customWidth="1"/>
    <col min="4882" max="4883" width="9.140625" style="1"/>
    <col min="4884" max="4884" width="12.7109375" style="1" customWidth="1"/>
    <col min="4885" max="4885" width="10.7109375" style="1" customWidth="1"/>
    <col min="4886" max="4886" width="12.5703125" style="1" customWidth="1"/>
    <col min="4887" max="4887" width="9.140625" style="1"/>
    <col min="4888" max="4888" width="11" style="1" customWidth="1"/>
    <col min="4889" max="4889" width="10.85546875" style="1" customWidth="1"/>
    <col min="4890" max="5133" width="9.140625" style="1"/>
    <col min="5134" max="5134" width="11.28515625" style="1" customWidth="1"/>
    <col min="5135" max="5135" width="13.28515625" style="1" customWidth="1"/>
    <col min="5136" max="5136" width="10.7109375" style="1" customWidth="1"/>
    <col min="5137" max="5137" width="9.5703125" style="1" customWidth="1"/>
    <col min="5138" max="5139" width="9.140625" style="1"/>
    <col min="5140" max="5140" width="12.7109375" style="1" customWidth="1"/>
    <col min="5141" max="5141" width="10.7109375" style="1" customWidth="1"/>
    <col min="5142" max="5142" width="12.5703125" style="1" customWidth="1"/>
    <col min="5143" max="5143" width="9.140625" style="1"/>
    <col min="5144" max="5144" width="11" style="1" customWidth="1"/>
    <col min="5145" max="5145" width="10.85546875" style="1" customWidth="1"/>
    <col min="5146" max="5389" width="9.140625" style="1"/>
    <col min="5390" max="5390" width="11.28515625" style="1" customWidth="1"/>
    <col min="5391" max="5391" width="13.28515625" style="1" customWidth="1"/>
    <col min="5392" max="5392" width="10.7109375" style="1" customWidth="1"/>
    <col min="5393" max="5393" width="9.5703125" style="1" customWidth="1"/>
    <col min="5394" max="5395" width="9.140625" style="1"/>
    <col min="5396" max="5396" width="12.7109375" style="1" customWidth="1"/>
    <col min="5397" max="5397" width="10.7109375" style="1" customWidth="1"/>
    <col min="5398" max="5398" width="12.5703125" style="1" customWidth="1"/>
    <col min="5399" max="5399" width="9.140625" style="1"/>
    <col min="5400" max="5400" width="11" style="1" customWidth="1"/>
    <col min="5401" max="5401" width="10.85546875" style="1" customWidth="1"/>
    <col min="5402" max="5645" width="9.140625" style="1"/>
    <col min="5646" max="5646" width="11.28515625" style="1" customWidth="1"/>
    <col min="5647" max="5647" width="13.28515625" style="1" customWidth="1"/>
    <col min="5648" max="5648" width="10.7109375" style="1" customWidth="1"/>
    <col min="5649" max="5649" width="9.5703125" style="1" customWidth="1"/>
    <col min="5650" max="5651" width="9.140625" style="1"/>
    <col min="5652" max="5652" width="12.7109375" style="1" customWidth="1"/>
    <col min="5653" max="5653" width="10.7109375" style="1" customWidth="1"/>
    <col min="5654" max="5654" width="12.5703125" style="1" customWidth="1"/>
    <col min="5655" max="5655" width="9.140625" style="1"/>
    <col min="5656" max="5656" width="11" style="1" customWidth="1"/>
    <col min="5657" max="5657" width="10.85546875" style="1" customWidth="1"/>
    <col min="5658" max="5901" width="9.140625" style="1"/>
    <col min="5902" max="5902" width="11.28515625" style="1" customWidth="1"/>
    <col min="5903" max="5903" width="13.28515625" style="1" customWidth="1"/>
    <col min="5904" max="5904" width="10.7109375" style="1" customWidth="1"/>
    <col min="5905" max="5905" width="9.5703125" style="1" customWidth="1"/>
    <col min="5906" max="5907" width="9.140625" style="1"/>
    <col min="5908" max="5908" width="12.7109375" style="1" customWidth="1"/>
    <col min="5909" max="5909" width="10.7109375" style="1" customWidth="1"/>
    <col min="5910" max="5910" width="12.5703125" style="1" customWidth="1"/>
    <col min="5911" max="5911" width="9.140625" style="1"/>
    <col min="5912" max="5912" width="11" style="1" customWidth="1"/>
    <col min="5913" max="5913" width="10.85546875" style="1" customWidth="1"/>
    <col min="5914" max="6157" width="9.140625" style="1"/>
    <col min="6158" max="6158" width="11.28515625" style="1" customWidth="1"/>
    <col min="6159" max="6159" width="13.28515625" style="1" customWidth="1"/>
    <col min="6160" max="6160" width="10.7109375" style="1" customWidth="1"/>
    <col min="6161" max="6161" width="9.5703125" style="1" customWidth="1"/>
    <col min="6162" max="6163" width="9.140625" style="1"/>
    <col min="6164" max="6164" width="12.7109375" style="1" customWidth="1"/>
    <col min="6165" max="6165" width="10.7109375" style="1" customWidth="1"/>
    <col min="6166" max="6166" width="12.5703125" style="1" customWidth="1"/>
    <col min="6167" max="6167" width="9.140625" style="1"/>
    <col min="6168" max="6168" width="11" style="1" customWidth="1"/>
    <col min="6169" max="6169" width="10.85546875" style="1" customWidth="1"/>
    <col min="6170" max="6413" width="9.140625" style="1"/>
    <col min="6414" max="6414" width="11.28515625" style="1" customWidth="1"/>
    <col min="6415" max="6415" width="13.28515625" style="1" customWidth="1"/>
    <col min="6416" max="6416" width="10.7109375" style="1" customWidth="1"/>
    <col min="6417" max="6417" width="9.5703125" style="1" customWidth="1"/>
    <col min="6418" max="6419" width="9.140625" style="1"/>
    <col min="6420" max="6420" width="12.7109375" style="1" customWidth="1"/>
    <col min="6421" max="6421" width="10.7109375" style="1" customWidth="1"/>
    <col min="6422" max="6422" width="12.5703125" style="1" customWidth="1"/>
    <col min="6423" max="6423" width="9.140625" style="1"/>
    <col min="6424" max="6424" width="11" style="1" customWidth="1"/>
    <col min="6425" max="6425" width="10.85546875" style="1" customWidth="1"/>
    <col min="6426" max="6669" width="9.140625" style="1"/>
    <col min="6670" max="6670" width="11.28515625" style="1" customWidth="1"/>
    <col min="6671" max="6671" width="13.28515625" style="1" customWidth="1"/>
    <col min="6672" max="6672" width="10.7109375" style="1" customWidth="1"/>
    <col min="6673" max="6673" width="9.5703125" style="1" customWidth="1"/>
    <col min="6674" max="6675" width="9.140625" style="1"/>
    <col min="6676" max="6676" width="12.7109375" style="1" customWidth="1"/>
    <col min="6677" max="6677" width="10.7109375" style="1" customWidth="1"/>
    <col min="6678" max="6678" width="12.5703125" style="1" customWidth="1"/>
    <col min="6679" max="6679" width="9.140625" style="1"/>
    <col min="6680" max="6680" width="11" style="1" customWidth="1"/>
    <col min="6681" max="6681" width="10.85546875" style="1" customWidth="1"/>
    <col min="6682" max="6925" width="9.140625" style="1"/>
    <col min="6926" max="6926" width="11.28515625" style="1" customWidth="1"/>
    <col min="6927" max="6927" width="13.28515625" style="1" customWidth="1"/>
    <col min="6928" max="6928" width="10.7109375" style="1" customWidth="1"/>
    <col min="6929" max="6929" width="9.5703125" style="1" customWidth="1"/>
    <col min="6930" max="6931" width="9.140625" style="1"/>
    <col min="6932" max="6932" width="12.7109375" style="1" customWidth="1"/>
    <col min="6933" max="6933" width="10.7109375" style="1" customWidth="1"/>
    <col min="6934" max="6934" width="12.5703125" style="1" customWidth="1"/>
    <col min="6935" max="6935" width="9.140625" style="1"/>
    <col min="6936" max="6936" width="11" style="1" customWidth="1"/>
    <col min="6937" max="6937" width="10.85546875" style="1" customWidth="1"/>
    <col min="6938" max="7181" width="9.140625" style="1"/>
    <col min="7182" max="7182" width="11.28515625" style="1" customWidth="1"/>
    <col min="7183" max="7183" width="13.28515625" style="1" customWidth="1"/>
    <col min="7184" max="7184" width="10.7109375" style="1" customWidth="1"/>
    <col min="7185" max="7185" width="9.5703125" style="1" customWidth="1"/>
    <col min="7186" max="7187" width="9.140625" style="1"/>
    <col min="7188" max="7188" width="12.7109375" style="1" customWidth="1"/>
    <col min="7189" max="7189" width="10.7109375" style="1" customWidth="1"/>
    <col min="7190" max="7190" width="12.5703125" style="1" customWidth="1"/>
    <col min="7191" max="7191" width="9.140625" style="1"/>
    <col min="7192" max="7192" width="11" style="1" customWidth="1"/>
    <col min="7193" max="7193" width="10.85546875" style="1" customWidth="1"/>
    <col min="7194" max="7437" width="9.140625" style="1"/>
    <col min="7438" max="7438" width="11.28515625" style="1" customWidth="1"/>
    <col min="7439" max="7439" width="13.28515625" style="1" customWidth="1"/>
    <col min="7440" max="7440" width="10.7109375" style="1" customWidth="1"/>
    <col min="7441" max="7441" width="9.5703125" style="1" customWidth="1"/>
    <col min="7442" max="7443" width="9.140625" style="1"/>
    <col min="7444" max="7444" width="12.7109375" style="1" customWidth="1"/>
    <col min="7445" max="7445" width="10.7109375" style="1" customWidth="1"/>
    <col min="7446" max="7446" width="12.5703125" style="1" customWidth="1"/>
    <col min="7447" max="7447" width="9.140625" style="1"/>
    <col min="7448" max="7448" width="11" style="1" customWidth="1"/>
    <col min="7449" max="7449" width="10.85546875" style="1" customWidth="1"/>
    <col min="7450" max="7693" width="9.140625" style="1"/>
    <col min="7694" max="7694" width="11.28515625" style="1" customWidth="1"/>
    <col min="7695" max="7695" width="13.28515625" style="1" customWidth="1"/>
    <col min="7696" max="7696" width="10.7109375" style="1" customWidth="1"/>
    <col min="7697" max="7697" width="9.5703125" style="1" customWidth="1"/>
    <col min="7698" max="7699" width="9.140625" style="1"/>
    <col min="7700" max="7700" width="12.7109375" style="1" customWidth="1"/>
    <col min="7701" max="7701" width="10.7109375" style="1" customWidth="1"/>
    <col min="7702" max="7702" width="12.5703125" style="1" customWidth="1"/>
    <col min="7703" max="7703" width="9.140625" style="1"/>
    <col min="7704" max="7704" width="11" style="1" customWidth="1"/>
    <col min="7705" max="7705" width="10.85546875" style="1" customWidth="1"/>
    <col min="7706" max="7949" width="9.140625" style="1"/>
    <col min="7950" max="7950" width="11.28515625" style="1" customWidth="1"/>
    <col min="7951" max="7951" width="13.28515625" style="1" customWidth="1"/>
    <col min="7952" max="7952" width="10.7109375" style="1" customWidth="1"/>
    <col min="7953" max="7953" width="9.5703125" style="1" customWidth="1"/>
    <col min="7954" max="7955" width="9.140625" style="1"/>
    <col min="7956" max="7956" width="12.7109375" style="1" customWidth="1"/>
    <col min="7957" max="7957" width="10.7109375" style="1" customWidth="1"/>
    <col min="7958" max="7958" width="12.5703125" style="1" customWidth="1"/>
    <col min="7959" max="7959" width="9.140625" style="1"/>
    <col min="7960" max="7960" width="11" style="1" customWidth="1"/>
    <col min="7961" max="7961" width="10.85546875" style="1" customWidth="1"/>
    <col min="7962" max="8205" width="9.140625" style="1"/>
    <col min="8206" max="8206" width="11.28515625" style="1" customWidth="1"/>
    <col min="8207" max="8207" width="13.28515625" style="1" customWidth="1"/>
    <col min="8208" max="8208" width="10.7109375" style="1" customWidth="1"/>
    <col min="8209" max="8209" width="9.5703125" style="1" customWidth="1"/>
    <col min="8210" max="8211" width="9.140625" style="1"/>
    <col min="8212" max="8212" width="12.7109375" style="1" customWidth="1"/>
    <col min="8213" max="8213" width="10.7109375" style="1" customWidth="1"/>
    <col min="8214" max="8214" width="12.5703125" style="1" customWidth="1"/>
    <col min="8215" max="8215" width="9.140625" style="1"/>
    <col min="8216" max="8216" width="11" style="1" customWidth="1"/>
    <col min="8217" max="8217" width="10.85546875" style="1" customWidth="1"/>
    <col min="8218" max="8461" width="9.140625" style="1"/>
    <col min="8462" max="8462" width="11.28515625" style="1" customWidth="1"/>
    <col min="8463" max="8463" width="13.28515625" style="1" customWidth="1"/>
    <col min="8464" max="8464" width="10.7109375" style="1" customWidth="1"/>
    <col min="8465" max="8465" width="9.5703125" style="1" customWidth="1"/>
    <col min="8466" max="8467" width="9.140625" style="1"/>
    <col min="8468" max="8468" width="12.7109375" style="1" customWidth="1"/>
    <col min="8469" max="8469" width="10.7109375" style="1" customWidth="1"/>
    <col min="8470" max="8470" width="12.5703125" style="1" customWidth="1"/>
    <col min="8471" max="8471" width="9.140625" style="1"/>
    <col min="8472" max="8472" width="11" style="1" customWidth="1"/>
    <col min="8473" max="8473" width="10.85546875" style="1" customWidth="1"/>
    <col min="8474" max="8717" width="9.140625" style="1"/>
    <col min="8718" max="8718" width="11.28515625" style="1" customWidth="1"/>
    <col min="8719" max="8719" width="13.28515625" style="1" customWidth="1"/>
    <col min="8720" max="8720" width="10.7109375" style="1" customWidth="1"/>
    <col min="8721" max="8721" width="9.5703125" style="1" customWidth="1"/>
    <col min="8722" max="8723" width="9.140625" style="1"/>
    <col min="8724" max="8724" width="12.7109375" style="1" customWidth="1"/>
    <col min="8725" max="8725" width="10.7109375" style="1" customWidth="1"/>
    <col min="8726" max="8726" width="12.5703125" style="1" customWidth="1"/>
    <col min="8727" max="8727" width="9.140625" style="1"/>
    <col min="8728" max="8728" width="11" style="1" customWidth="1"/>
    <col min="8729" max="8729" width="10.85546875" style="1" customWidth="1"/>
    <col min="8730" max="8973" width="9.140625" style="1"/>
    <col min="8974" max="8974" width="11.28515625" style="1" customWidth="1"/>
    <col min="8975" max="8975" width="13.28515625" style="1" customWidth="1"/>
    <col min="8976" max="8976" width="10.7109375" style="1" customWidth="1"/>
    <col min="8977" max="8977" width="9.5703125" style="1" customWidth="1"/>
    <col min="8978" max="8979" width="9.140625" style="1"/>
    <col min="8980" max="8980" width="12.7109375" style="1" customWidth="1"/>
    <col min="8981" max="8981" width="10.7109375" style="1" customWidth="1"/>
    <col min="8982" max="8982" width="12.5703125" style="1" customWidth="1"/>
    <col min="8983" max="8983" width="9.140625" style="1"/>
    <col min="8984" max="8984" width="11" style="1" customWidth="1"/>
    <col min="8985" max="8985" width="10.85546875" style="1" customWidth="1"/>
    <col min="8986" max="9229" width="9.140625" style="1"/>
    <col min="9230" max="9230" width="11.28515625" style="1" customWidth="1"/>
    <col min="9231" max="9231" width="13.28515625" style="1" customWidth="1"/>
    <col min="9232" max="9232" width="10.7109375" style="1" customWidth="1"/>
    <col min="9233" max="9233" width="9.5703125" style="1" customWidth="1"/>
    <col min="9234" max="9235" width="9.140625" style="1"/>
    <col min="9236" max="9236" width="12.7109375" style="1" customWidth="1"/>
    <col min="9237" max="9237" width="10.7109375" style="1" customWidth="1"/>
    <col min="9238" max="9238" width="12.5703125" style="1" customWidth="1"/>
    <col min="9239" max="9239" width="9.140625" style="1"/>
    <col min="9240" max="9240" width="11" style="1" customWidth="1"/>
    <col min="9241" max="9241" width="10.85546875" style="1" customWidth="1"/>
    <col min="9242" max="9485" width="9.140625" style="1"/>
    <col min="9486" max="9486" width="11.28515625" style="1" customWidth="1"/>
    <col min="9487" max="9487" width="13.28515625" style="1" customWidth="1"/>
    <col min="9488" max="9488" width="10.7109375" style="1" customWidth="1"/>
    <col min="9489" max="9489" width="9.5703125" style="1" customWidth="1"/>
    <col min="9490" max="9491" width="9.140625" style="1"/>
    <col min="9492" max="9492" width="12.7109375" style="1" customWidth="1"/>
    <col min="9493" max="9493" width="10.7109375" style="1" customWidth="1"/>
    <col min="9494" max="9494" width="12.5703125" style="1" customWidth="1"/>
    <col min="9495" max="9495" width="9.140625" style="1"/>
    <col min="9496" max="9496" width="11" style="1" customWidth="1"/>
    <col min="9497" max="9497" width="10.85546875" style="1" customWidth="1"/>
    <col min="9498" max="9741" width="9.140625" style="1"/>
    <col min="9742" max="9742" width="11.28515625" style="1" customWidth="1"/>
    <col min="9743" max="9743" width="13.28515625" style="1" customWidth="1"/>
    <col min="9744" max="9744" width="10.7109375" style="1" customWidth="1"/>
    <col min="9745" max="9745" width="9.5703125" style="1" customWidth="1"/>
    <col min="9746" max="9747" width="9.140625" style="1"/>
    <col min="9748" max="9748" width="12.7109375" style="1" customWidth="1"/>
    <col min="9749" max="9749" width="10.7109375" style="1" customWidth="1"/>
    <col min="9750" max="9750" width="12.5703125" style="1" customWidth="1"/>
    <col min="9751" max="9751" width="9.140625" style="1"/>
    <col min="9752" max="9752" width="11" style="1" customWidth="1"/>
    <col min="9753" max="9753" width="10.85546875" style="1" customWidth="1"/>
    <col min="9754" max="9997" width="9.140625" style="1"/>
    <col min="9998" max="9998" width="11.28515625" style="1" customWidth="1"/>
    <col min="9999" max="9999" width="13.28515625" style="1" customWidth="1"/>
    <col min="10000" max="10000" width="10.7109375" style="1" customWidth="1"/>
    <col min="10001" max="10001" width="9.5703125" style="1" customWidth="1"/>
    <col min="10002" max="10003" width="9.140625" style="1"/>
    <col min="10004" max="10004" width="12.7109375" style="1" customWidth="1"/>
    <col min="10005" max="10005" width="10.7109375" style="1" customWidth="1"/>
    <col min="10006" max="10006" width="12.5703125" style="1" customWidth="1"/>
    <col min="10007" max="10007" width="9.140625" style="1"/>
    <col min="10008" max="10008" width="11" style="1" customWidth="1"/>
    <col min="10009" max="10009" width="10.85546875" style="1" customWidth="1"/>
    <col min="10010" max="10253" width="9.140625" style="1"/>
    <col min="10254" max="10254" width="11.28515625" style="1" customWidth="1"/>
    <col min="10255" max="10255" width="13.28515625" style="1" customWidth="1"/>
    <col min="10256" max="10256" width="10.7109375" style="1" customWidth="1"/>
    <col min="10257" max="10257" width="9.5703125" style="1" customWidth="1"/>
    <col min="10258" max="10259" width="9.140625" style="1"/>
    <col min="10260" max="10260" width="12.7109375" style="1" customWidth="1"/>
    <col min="10261" max="10261" width="10.7109375" style="1" customWidth="1"/>
    <col min="10262" max="10262" width="12.5703125" style="1" customWidth="1"/>
    <col min="10263" max="10263" width="9.140625" style="1"/>
    <col min="10264" max="10264" width="11" style="1" customWidth="1"/>
    <col min="10265" max="10265" width="10.85546875" style="1" customWidth="1"/>
    <col min="10266" max="10509" width="9.140625" style="1"/>
    <col min="10510" max="10510" width="11.28515625" style="1" customWidth="1"/>
    <col min="10511" max="10511" width="13.28515625" style="1" customWidth="1"/>
    <col min="10512" max="10512" width="10.7109375" style="1" customWidth="1"/>
    <col min="10513" max="10513" width="9.5703125" style="1" customWidth="1"/>
    <col min="10514" max="10515" width="9.140625" style="1"/>
    <col min="10516" max="10516" width="12.7109375" style="1" customWidth="1"/>
    <col min="10517" max="10517" width="10.7109375" style="1" customWidth="1"/>
    <col min="10518" max="10518" width="12.5703125" style="1" customWidth="1"/>
    <col min="10519" max="10519" width="9.140625" style="1"/>
    <col min="10520" max="10520" width="11" style="1" customWidth="1"/>
    <col min="10521" max="10521" width="10.85546875" style="1" customWidth="1"/>
    <col min="10522" max="10765" width="9.140625" style="1"/>
    <col min="10766" max="10766" width="11.28515625" style="1" customWidth="1"/>
    <col min="10767" max="10767" width="13.28515625" style="1" customWidth="1"/>
    <col min="10768" max="10768" width="10.7109375" style="1" customWidth="1"/>
    <col min="10769" max="10769" width="9.5703125" style="1" customWidth="1"/>
    <col min="10770" max="10771" width="9.140625" style="1"/>
    <col min="10772" max="10772" width="12.7109375" style="1" customWidth="1"/>
    <col min="10773" max="10773" width="10.7109375" style="1" customWidth="1"/>
    <col min="10774" max="10774" width="12.5703125" style="1" customWidth="1"/>
    <col min="10775" max="10775" width="9.140625" style="1"/>
    <col min="10776" max="10776" width="11" style="1" customWidth="1"/>
    <col min="10777" max="10777" width="10.85546875" style="1" customWidth="1"/>
    <col min="10778" max="11021" width="9.140625" style="1"/>
    <col min="11022" max="11022" width="11.28515625" style="1" customWidth="1"/>
    <col min="11023" max="11023" width="13.28515625" style="1" customWidth="1"/>
    <col min="11024" max="11024" width="10.7109375" style="1" customWidth="1"/>
    <col min="11025" max="11025" width="9.5703125" style="1" customWidth="1"/>
    <col min="11026" max="11027" width="9.140625" style="1"/>
    <col min="11028" max="11028" width="12.7109375" style="1" customWidth="1"/>
    <col min="11029" max="11029" width="10.7109375" style="1" customWidth="1"/>
    <col min="11030" max="11030" width="12.5703125" style="1" customWidth="1"/>
    <col min="11031" max="11031" width="9.140625" style="1"/>
    <col min="11032" max="11032" width="11" style="1" customWidth="1"/>
    <col min="11033" max="11033" width="10.85546875" style="1" customWidth="1"/>
    <col min="11034" max="11277" width="9.140625" style="1"/>
    <col min="11278" max="11278" width="11.28515625" style="1" customWidth="1"/>
    <col min="11279" max="11279" width="13.28515625" style="1" customWidth="1"/>
    <col min="11280" max="11280" width="10.7109375" style="1" customWidth="1"/>
    <col min="11281" max="11281" width="9.5703125" style="1" customWidth="1"/>
    <col min="11282" max="11283" width="9.140625" style="1"/>
    <col min="11284" max="11284" width="12.7109375" style="1" customWidth="1"/>
    <col min="11285" max="11285" width="10.7109375" style="1" customWidth="1"/>
    <col min="11286" max="11286" width="12.5703125" style="1" customWidth="1"/>
    <col min="11287" max="11287" width="9.140625" style="1"/>
    <col min="11288" max="11288" width="11" style="1" customWidth="1"/>
    <col min="11289" max="11289" width="10.85546875" style="1" customWidth="1"/>
    <col min="11290" max="11533" width="9.140625" style="1"/>
    <col min="11534" max="11534" width="11.28515625" style="1" customWidth="1"/>
    <col min="11535" max="11535" width="13.28515625" style="1" customWidth="1"/>
    <col min="11536" max="11536" width="10.7109375" style="1" customWidth="1"/>
    <col min="11537" max="11537" width="9.5703125" style="1" customWidth="1"/>
    <col min="11538" max="11539" width="9.140625" style="1"/>
    <col min="11540" max="11540" width="12.7109375" style="1" customWidth="1"/>
    <col min="11541" max="11541" width="10.7109375" style="1" customWidth="1"/>
    <col min="11542" max="11542" width="12.5703125" style="1" customWidth="1"/>
    <col min="11543" max="11543" width="9.140625" style="1"/>
    <col min="11544" max="11544" width="11" style="1" customWidth="1"/>
    <col min="11545" max="11545" width="10.85546875" style="1" customWidth="1"/>
    <col min="11546" max="11789" width="9.140625" style="1"/>
    <col min="11790" max="11790" width="11.28515625" style="1" customWidth="1"/>
    <col min="11791" max="11791" width="13.28515625" style="1" customWidth="1"/>
    <col min="11792" max="11792" width="10.7109375" style="1" customWidth="1"/>
    <col min="11793" max="11793" width="9.5703125" style="1" customWidth="1"/>
    <col min="11794" max="11795" width="9.140625" style="1"/>
    <col min="11796" max="11796" width="12.7109375" style="1" customWidth="1"/>
    <col min="11797" max="11797" width="10.7109375" style="1" customWidth="1"/>
    <col min="11798" max="11798" width="12.5703125" style="1" customWidth="1"/>
    <col min="11799" max="11799" width="9.140625" style="1"/>
    <col min="11800" max="11800" width="11" style="1" customWidth="1"/>
    <col min="11801" max="11801" width="10.85546875" style="1" customWidth="1"/>
    <col min="11802" max="12045" width="9.140625" style="1"/>
    <col min="12046" max="12046" width="11.28515625" style="1" customWidth="1"/>
    <col min="12047" max="12047" width="13.28515625" style="1" customWidth="1"/>
    <col min="12048" max="12048" width="10.7109375" style="1" customWidth="1"/>
    <col min="12049" max="12049" width="9.5703125" style="1" customWidth="1"/>
    <col min="12050" max="12051" width="9.140625" style="1"/>
    <col min="12052" max="12052" width="12.7109375" style="1" customWidth="1"/>
    <col min="12053" max="12053" width="10.7109375" style="1" customWidth="1"/>
    <col min="12054" max="12054" width="12.5703125" style="1" customWidth="1"/>
    <col min="12055" max="12055" width="9.140625" style="1"/>
    <col min="12056" max="12056" width="11" style="1" customWidth="1"/>
    <col min="12057" max="12057" width="10.85546875" style="1" customWidth="1"/>
    <col min="12058" max="12301" width="9.140625" style="1"/>
    <col min="12302" max="12302" width="11.28515625" style="1" customWidth="1"/>
    <col min="12303" max="12303" width="13.28515625" style="1" customWidth="1"/>
    <col min="12304" max="12304" width="10.7109375" style="1" customWidth="1"/>
    <col min="12305" max="12305" width="9.5703125" style="1" customWidth="1"/>
    <col min="12306" max="12307" width="9.140625" style="1"/>
    <col min="12308" max="12308" width="12.7109375" style="1" customWidth="1"/>
    <col min="12309" max="12309" width="10.7109375" style="1" customWidth="1"/>
    <col min="12310" max="12310" width="12.5703125" style="1" customWidth="1"/>
    <col min="12311" max="12311" width="9.140625" style="1"/>
    <col min="12312" max="12312" width="11" style="1" customWidth="1"/>
    <col min="12313" max="12313" width="10.85546875" style="1" customWidth="1"/>
    <col min="12314" max="12557" width="9.140625" style="1"/>
    <col min="12558" max="12558" width="11.28515625" style="1" customWidth="1"/>
    <col min="12559" max="12559" width="13.28515625" style="1" customWidth="1"/>
    <col min="12560" max="12560" width="10.7109375" style="1" customWidth="1"/>
    <col min="12561" max="12561" width="9.5703125" style="1" customWidth="1"/>
    <col min="12562" max="12563" width="9.140625" style="1"/>
    <col min="12564" max="12564" width="12.7109375" style="1" customWidth="1"/>
    <col min="12565" max="12565" width="10.7109375" style="1" customWidth="1"/>
    <col min="12566" max="12566" width="12.5703125" style="1" customWidth="1"/>
    <col min="12567" max="12567" width="9.140625" style="1"/>
    <col min="12568" max="12568" width="11" style="1" customWidth="1"/>
    <col min="12569" max="12569" width="10.85546875" style="1" customWidth="1"/>
    <col min="12570" max="12813" width="9.140625" style="1"/>
    <col min="12814" max="12814" width="11.28515625" style="1" customWidth="1"/>
    <col min="12815" max="12815" width="13.28515625" style="1" customWidth="1"/>
    <col min="12816" max="12816" width="10.7109375" style="1" customWidth="1"/>
    <col min="12817" max="12817" width="9.5703125" style="1" customWidth="1"/>
    <col min="12818" max="12819" width="9.140625" style="1"/>
    <col min="12820" max="12820" width="12.7109375" style="1" customWidth="1"/>
    <col min="12821" max="12821" width="10.7109375" style="1" customWidth="1"/>
    <col min="12822" max="12822" width="12.5703125" style="1" customWidth="1"/>
    <col min="12823" max="12823" width="9.140625" style="1"/>
    <col min="12824" max="12824" width="11" style="1" customWidth="1"/>
    <col min="12825" max="12825" width="10.85546875" style="1" customWidth="1"/>
    <col min="12826" max="13069" width="9.140625" style="1"/>
    <col min="13070" max="13070" width="11.28515625" style="1" customWidth="1"/>
    <col min="13071" max="13071" width="13.28515625" style="1" customWidth="1"/>
    <col min="13072" max="13072" width="10.7109375" style="1" customWidth="1"/>
    <col min="13073" max="13073" width="9.5703125" style="1" customWidth="1"/>
    <col min="13074" max="13075" width="9.140625" style="1"/>
    <col min="13076" max="13076" width="12.7109375" style="1" customWidth="1"/>
    <col min="13077" max="13077" width="10.7109375" style="1" customWidth="1"/>
    <col min="13078" max="13078" width="12.5703125" style="1" customWidth="1"/>
    <col min="13079" max="13079" width="9.140625" style="1"/>
    <col min="13080" max="13080" width="11" style="1" customWidth="1"/>
    <col min="13081" max="13081" width="10.85546875" style="1" customWidth="1"/>
    <col min="13082" max="13325" width="9.140625" style="1"/>
    <col min="13326" max="13326" width="11.28515625" style="1" customWidth="1"/>
    <col min="13327" max="13327" width="13.28515625" style="1" customWidth="1"/>
    <col min="13328" max="13328" width="10.7109375" style="1" customWidth="1"/>
    <col min="13329" max="13329" width="9.5703125" style="1" customWidth="1"/>
    <col min="13330" max="13331" width="9.140625" style="1"/>
    <col min="13332" max="13332" width="12.7109375" style="1" customWidth="1"/>
    <col min="13333" max="13333" width="10.7109375" style="1" customWidth="1"/>
    <col min="13334" max="13334" width="12.5703125" style="1" customWidth="1"/>
    <col min="13335" max="13335" width="9.140625" style="1"/>
    <col min="13336" max="13336" width="11" style="1" customWidth="1"/>
    <col min="13337" max="13337" width="10.85546875" style="1" customWidth="1"/>
    <col min="13338" max="13581" width="9.140625" style="1"/>
    <col min="13582" max="13582" width="11.28515625" style="1" customWidth="1"/>
    <col min="13583" max="13583" width="13.28515625" style="1" customWidth="1"/>
    <col min="13584" max="13584" width="10.7109375" style="1" customWidth="1"/>
    <col min="13585" max="13585" width="9.5703125" style="1" customWidth="1"/>
    <col min="13586" max="13587" width="9.140625" style="1"/>
    <col min="13588" max="13588" width="12.7109375" style="1" customWidth="1"/>
    <col min="13589" max="13589" width="10.7109375" style="1" customWidth="1"/>
    <col min="13590" max="13590" width="12.5703125" style="1" customWidth="1"/>
    <col min="13591" max="13591" width="9.140625" style="1"/>
    <col min="13592" max="13592" width="11" style="1" customWidth="1"/>
    <col min="13593" max="13593" width="10.85546875" style="1" customWidth="1"/>
    <col min="13594" max="13837" width="9.140625" style="1"/>
    <col min="13838" max="13838" width="11.28515625" style="1" customWidth="1"/>
    <col min="13839" max="13839" width="13.28515625" style="1" customWidth="1"/>
    <col min="13840" max="13840" width="10.7109375" style="1" customWidth="1"/>
    <col min="13841" max="13841" width="9.5703125" style="1" customWidth="1"/>
    <col min="13842" max="13843" width="9.140625" style="1"/>
    <col min="13844" max="13844" width="12.7109375" style="1" customWidth="1"/>
    <col min="13845" max="13845" width="10.7109375" style="1" customWidth="1"/>
    <col min="13846" max="13846" width="12.5703125" style="1" customWidth="1"/>
    <col min="13847" max="13847" width="9.140625" style="1"/>
    <col min="13848" max="13848" width="11" style="1" customWidth="1"/>
    <col min="13849" max="13849" width="10.85546875" style="1" customWidth="1"/>
    <col min="13850" max="14093" width="9.140625" style="1"/>
    <col min="14094" max="14094" width="11.28515625" style="1" customWidth="1"/>
    <col min="14095" max="14095" width="13.28515625" style="1" customWidth="1"/>
    <col min="14096" max="14096" width="10.7109375" style="1" customWidth="1"/>
    <col min="14097" max="14097" width="9.5703125" style="1" customWidth="1"/>
    <col min="14098" max="14099" width="9.140625" style="1"/>
    <col min="14100" max="14100" width="12.7109375" style="1" customWidth="1"/>
    <col min="14101" max="14101" width="10.7109375" style="1" customWidth="1"/>
    <col min="14102" max="14102" width="12.5703125" style="1" customWidth="1"/>
    <col min="14103" max="14103" width="9.140625" style="1"/>
    <col min="14104" max="14104" width="11" style="1" customWidth="1"/>
    <col min="14105" max="14105" width="10.85546875" style="1" customWidth="1"/>
    <col min="14106" max="14349" width="9.140625" style="1"/>
    <col min="14350" max="14350" width="11.28515625" style="1" customWidth="1"/>
    <col min="14351" max="14351" width="13.28515625" style="1" customWidth="1"/>
    <col min="14352" max="14352" width="10.7109375" style="1" customWidth="1"/>
    <col min="14353" max="14353" width="9.5703125" style="1" customWidth="1"/>
    <col min="14354" max="14355" width="9.140625" style="1"/>
    <col min="14356" max="14356" width="12.7109375" style="1" customWidth="1"/>
    <col min="14357" max="14357" width="10.7109375" style="1" customWidth="1"/>
    <col min="14358" max="14358" width="12.5703125" style="1" customWidth="1"/>
    <col min="14359" max="14359" width="9.140625" style="1"/>
    <col min="14360" max="14360" width="11" style="1" customWidth="1"/>
    <col min="14361" max="14361" width="10.85546875" style="1" customWidth="1"/>
    <col min="14362" max="14605" width="9.140625" style="1"/>
    <col min="14606" max="14606" width="11.28515625" style="1" customWidth="1"/>
    <col min="14607" max="14607" width="13.28515625" style="1" customWidth="1"/>
    <col min="14608" max="14608" width="10.7109375" style="1" customWidth="1"/>
    <col min="14609" max="14609" width="9.5703125" style="1" customWidth="1"/>
    <col min="14610" max="14611" width="9.140625" style="1"/>
    <col min="14612" max="14612" width="12.7109375" style="1" customWidth="1"/>
    <col min="14613" max="14613" width="10.7109375" style="1" customWidth="1"/>
    <col min="14614" max="14614" width="12.5703125" style="1" customWidth="1"/>
    <col min="14615" max="14615" width="9.140625" style="1"/>
    <col min="14616" max="14616" width="11" style="1" customWidth="1"/>
    <col min="14617" max="14617" width="10.85546875" style="1" customWidth="1"/>
    <col min="14618" max="14861" width="9.140625" style="1"/>
    <col min="14862" max="14862" width="11.28515625" style="1" customWidth="1"/>
    <col min="14863" max="14863" width="13.28515625" style="1" customWidth="1"/>
    <col min="14864" max="14864" width="10.7109375" style="1" customWidth="1"/>
    <col min="14865" max="14865" width="9.5703125" style="1" customWidth="1"/>
    <col min="14866" max="14867" width="9.140625" style="1"/>
    <col min="14868" max="14868" width="12.7109375" style="1" customWidth="1"/>
    <col min="14869" max="14869" width="10.7109375" style="1" customWidth="1"/>
    <col min="14870" max="14870" width="12.5703125" style="1" customWidth="1"/>
    <col min="14871" max="14871" width="9.140625" style="1"/>
    <col min="14872" max="14872" width="11" style="1" customWidth="1"/>
    <col min="14873" max="14873" width="10.85546875" style="1" customWidth="1"/>
    <col min="14874" max="15117" width="9.140625" style="1"/>
    <col min="15118" max="15118" width="11.28515625" style="1" customWidth="1"/>
    <col min="15119" max="15119" width="13.28515625" style="1" customWidth="1"/>
    <col min="15120" max="15120" width="10.7109375" style="1" customWidth="1"/>
    <col min="15121" max="15121" width="9.5703125" style="1" customWidth="1"/>
    <col min="15122" max="15123" width="9.140625" style="1"/>
    <col min="15124" max="15124" width="12.7109375" style="1" customWidth="1"/>
    <col min="15125" max="15125" width="10.7109375" style="1" customWidth="1"/>
    <col min="15126" max="15126" width="12.5703125" style="1" customWidth="1"/>
    <col min="15127" max="15127" width="9.140625" style="1"/>
    <col min="15128" max="15128" width="11" style="1" customWidth="1"/>
    <col min="15129" max="15129" width="10.85546875" style="1" customWidth="1"/>
    <col min="15130" max="15373" width="9.140625" style="1"/>
    <col min="15374" max="15374" width="11.28515625" style="1" customWidth="1"/>
    <col min="15375" max="15375" width="13.28515625" style="1" customWidth="1"/>
    <col min="15376" max="15376" width="10.7109375" style="1" customWidth="1"/>
    <col min="15377" max="15377" width="9.5703125" style="1" customWidth="1"/>
    <col min="15378" max="15379" width="9.140625" style="1"/>
    <col min="15380" max="15380" width="12.7109375" style="1" customWidth="1"/>
    <col min="15381" max="15381" width="10.7109375" style="1" customWidth="1"/>
    <col min="15382" max="15382" width="12.5703125" style="1" customWidth="1"/>
    <col min="15383" max="15383" width="9.140625" style="1"/>
    <col min="15384" max="15384" width="11" style="1" customWidth="1"/>
    <col min="15385" max="15385" width="10.85546875" style="1" customWidth="1"/>
    <col min="15386" max="15629" width="9.140625" style="1"/>
    <col min="15630" max="15630" width="11.28515625" style="1" customWidth="1"/>
    <col min="15631" max="15631" width="13.28515625" style="1" customWidth="1"/>
    <col min="15632" max="15632" width="10.7109375" style="1" customWidth="1"/>
    <col min="15633" max="15633" width="9.5703125" style="1" customWidth="1"/>
    <col min="15634" max="15635" width="9.140625" style="1"/>
    <col min="15636" max="15636" width="12.7109375" style="1" customWidth="1"/>
    <col min="15637" max="15637" width="10.7109375" style="1" customWidth="1"/>
    <col min="15638" max="15638" width="12.5703125" style="1" customWidth="1"/>
    <col min="15639" max="15639" width="9.140625" style="1"/>
    <col min="15640" max="15640" width="11" style="1" customWidth="1"/>
    <col min="15641" max="15641" width="10.85546875" style="1" customWidth="1"/>
    <col min="15642" max="15885" width="9.140625" style="1"/>
    <col min="15886" max="15886" width="11.28515625" style="1" customWidth="1"/>
    <col min="15887" max="15887" width="13.28515625" style="1" customWidth="1"/>
    <col min="15888" max="15888" width="10.7109375" style="1" customWidth="1"/>
    <col min="15889" max="15889" width="9.5703125" style="1" customWidth="1"/>
    <col min="15890" max="15891" width="9.140625" style="1"/>
    <col min="15892" max="15892" width="12.7109375" style="1" customWidth="1"/>
    <col min="15893" max="15893" width="10.7109375" style="1" customWidth="1"/>
    <col min="15894" max="15894" width="12.5703125" style="1" customWidth="1"/>
    <col min="15895" max="15895" width="9.140625" style="1"/>
    <col min="15896" max="15896" width="11" style="1" customWidth="1"/>
    <col min="15897" max="15897" width="10.85546875" style="1" customWidth="1"/>
    <col min="15898" max="16141" width="9.140625" style="1"/>
    <col min="16142" max="16142" width="11.28515625" style="1" customWidth="1"/>
    <col min="16143" max="16143" width="13.28515625" style="1" customWidth="1"/>
    <col min="16144" max="16144" width="10.7109375" style="1" customWidth="1"/>
    <col min="16145" max="16145" width="9.5703125" style="1" customWidth="1"/>
    <col min="16146" max="16147" width="9.140625" style="1"/>
    <col min="16148" max="16148" width="12.7109375" style="1" customWidth="1"/>
    <col min="16149" max="16149" width="10.7109375" style="1" customWidth="1"/>
    <col min="16150" max="16150" width="12.5703125" style="1" customWidth="1"/>
    <col min="16151" max="16151" width="9.140625" style="1"/>
    <col min="16152" max="16152" width="11" style="1" customWidth="1"/>
    <col min="16153" max="16153" width="10.85546875" style="1" customWidth="1"/>
    <col min="16154" max="16384" width="9.140625" style="1"/>
  </cols>
  <sheetData>
    <row r="1" spans="1:34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4" ht="15.75" x14ac:dyDescent="0.25">
      <c r="H2" s="2"/>
      <c r="I2" s="22" t="s">
        <v>156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6"/>
    </row>
    <row r="5" spans="1:34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20.25" x14ac:dyDescent="0.25">
      <c r="B6" s="3"/>
      <c r="C6" s="181" t="s">
        <v>55</v>
      </c>
      <c r="D6" s="181"/>
      <c r="E6" s="181"/>
      <c r="F6" s="181"/>
      <c r="G6" s="18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8"/>
      <c r="W6" s="28"/>
      <c r="X6" s="28"/>
      <c r="Y6" s="28"/>
      <c r="Z6" s="28"/>
      <c r="AA6" s="28"/>
      <c r="AB6" s="28"/>
      <c r="AC6" s="28"/>
      <c r="AD6" s="4"/>
      <c r="AE6" s="4"/>
      <c r="AF6" s="4"/>
      <c r="AG6" s="4"/>
      <c r="AH6" s="4"/>
    </row>
    <row r="7" spans="1:34" ht="12.95" customHeight="1" x14ac:dyDescent="0.2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28"/>
      <c r="W7" s="28"/>
      <c r="X7" s="28"/>
      <c r="Y7" s="28"/>
      <c r="Z7" s="28"/>
      <c r="AA7" s="28"/>
      <c r="AB7" s="28"/>
      <c r="AC7" s="28"/>
      <c r="AD7" s="4"/>
      <c r="AE7" s="4"/>
      <c r="AF7" s="4"/>
      <c r="AG7" s="4"/>
      <c r="AH7" s="4"/>
    </row>
    <row r="8" spans="1:34" ht="15" x14ac:dyDescent="0.25">
      <c r="B8" s="4"/>
      <c r="C8" s="4"/>
      <c r="D8" s="6" t="s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21" t="s">
        <v>162</v>
      </c>
      <c r="U8" s="121"/>
      <c r="V8" s="122"/>
      <c r="W8" s="122"/>
      <c r="X8" s="28"/>
      <c r="Y8" s="28"/>
      <c r="Z8" s="28"/>
      <c r="AA8" s="28"/>
      <c r="AB8" s="28"/>
      <c r="AC8" s="28"/>
      <c r="AD8" s="4"/>
      <c r="AE8" s="4"/>
      <c r="AF8" s="4"/>
      <c r="AG8" s="4"/>
      <c r="AH8" s="4"/>
    </row>
    <row r="9" spans="1:34" x14ac:dyDescent="0.25"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29.75" customHeight="1" x14ac:dyDescent="0.25">
      <c r="B10" s="173" t="s">
        <v>1</v>
      </c>
      <c r="C10" s="175" t="s">
        <v>56</v>
      </c>
      <c r="D10" s="167" t="s">
        <v>3</v>
      </c>
      <c r="E10" s="167" t="s">
        <v>4</v>
      </c>
      <c r="F10" s="167" t="s">
        <v>5</v>
      </c>
      <c r="G10" s="167" t="s">
        <v>6</v>
      </c>
      <c r="H10" s="167" t="s">
        <v>7</v>
      </c>
      <c r="I10" s="167" t="s">
        <v>8</v>
      </c>
      <c r="J10" s="167" t="s">
        <v>9</v>
      </c>
      <c r="K10" s="167" t="s">
        <v>57</v>
      </c>
      <c r="L10" s="23" t="s">
        <v>10</v>
      </c>
      <c r="M10" s="23" t="s">
        <v>10</v>
      </c>
      <c r="N10" s="23" t="s">
        <v>12</v>
      </c>
      <c r="O10" s="169" t="s">
        <v>13</v>
      </c>
      <c r="P10" s="170"/>
      <c r="Q10" s="171"/>
      <c r="R10" s="167" t="s">
        <v>14</v>
      </c>
      <c r="S10" s="183" t="s">
        <v>58</v>
      </c>
      <c r="T10" s="184"/>
      <c r="U10" s="184"/>
      <c r="V10" s="185"/>
      <c r="W10" s="165" t="s">
        <v>21</v>
      </c>
      <c r="X10" s="167" t="s">
        <v>9</v>
      </c>
      <c r="Y10" s="23" t="s">
        <v>245</v>
      </c>
      <c r="Z10" s="23" t="s">
        <v>246</v>
      </c>
      <c r="AA10" s="23" t="s">
        <v>157</v>
      </c>
      <c r="AB10" s="165" t="s">
        <v>59</v>
      </c>
      <c r="AC10" s="186" t="s">
        <v>18</v>
      </c>
      <c r="AD10" s="187"/>
      <c r="AE10" s="187"/>
      <c r="AF10" s="187"/>
      <c r="AG10" s="163" t="s">
        <v>19</v>
      </c>
      <c r="AH10" s="4"/>
    </row>
    <row r="11" spans="1:34" ht="66.599999999999994" customHeight="1" x14ac:dyDescent="0.25">
      <c r="B11" s="174"/>
      <c r="C11" s="176"/>
      <c r="D11" s="168"/>
      <c r="E11" s="168"/>
      <c r="F11" s="168"/>
      <c r="G11" s="168"/>
      <c r="H11" s="168"/>
      <c r="I11" s="168"/>
      <c r="J11" s="168"/>
      <c r="K11" s="168"/>
      <c r="L11" s="23">
        <v>5.6</v>
      </c>
      <c r="M11" s="23">
        <v>5.6</v>
      </c>
      <c r="N11" s="23">
        <v>0.7</v>
      </c>
      <c r="O11" s="24">
        <v>0.8</v>
      </c>
      <c r="P11" s="25">
        <v>0.9</v>
      </c>
      <c r="Q11" s="29">
        <v>1</v>
      </c>
      <c r="R11" s="168"/>
      <c r="S11" s="30">
        <v>0.1</v>
      </c>
      <c r="T11" s="31">
        <v>0.2</v>
      </c>
      <c r="U11" s="31">
        <v>0.3</v>
      </c>
      <c r="V11" s="31">
        <v>0.1</v>
      </c>
      <c r="W11" s="166"/>
      <c r="X11" s="168"/>
      <c r="Y11" s="23">
        <v>10.4</v>
      </c>
      <c r="Z11" s="23">
        <v>5.6</v>
      </c>
      <c r="AA11" s="23"/>
      <c r="AB11" s="166"/>
      <c r="AC11" s="34" t="s">
        <v>20</v>
      </c>
      <c r="AD11" s="34" t="s">
        <v>21</v>
      </c>
      <c r="AE11" s="34" t="s">
        <v>22</v>
      </c>
      <c r="AF11" s="34" t="s">
        <v>23</v>
      </c>
      <c r="AG11" s="164"/>
      <c r="AH11" s="4"/>
    </row>
    <row r="12" spans="1:34" ht="13.35" customHeight="1" x14ac:dyDescent="0.25">
      <c r="B12" s="8"/>
      <c r="C12" s="9"/>
      <c r="D12" s="10">
        <v>0</v>
      </c>
      <c r="E12" s="10">
        <v>1</v>
      </c>
      <c r="F12" s="10">
        <v>2</v>
      </c>
      <c r="G12" s="10" t="s">
        <v>24</v>
      </c>
      <c r="H12" s="10" t="s">
        <v>25</v>
      </c>
      <c r="I12" s="10" t="s">
        <v>26</v>
      </c>
      <c r="J12" s="10" t="s">
        <v>27</v>
      </c>
      <c r="K12" s="26" t="s">
        <v>60</v>
      </c>
      <c r="L12" s="10" t="s">
        <v>61</v>
      </c>
      <c r="M12" s="10" t="s">
        <v>61</v>
      </c>
      <c r="N12" s="10" t="s">
        <v>62</v>
      </c>
      <c r="O12" s="10" t="s">
        <v>63</v>
      </c>
      <c r="P12" s="10" t="s">
        <v>63</v>
      </c>
      <c r="Q12" s="10" t="s">
        <v>63</v>
      </c>
      <c r="R12" s="10">
        <v>9</v>
      </c>
      <c r="S12" s="32" t="s">
        <v>163</v>
      </c>
      <c r="T12" s="32" t="s">
        <v>164</v>
      </c>
      <c r="U12" s="32" t="s">
        <v>165</v>
      </c>
      <c r="V12" s="32" t="s">
        <v>166</v>
      </c>
      <c r="W12" s="32" t="s">
        <v>64</v>
      </c>
      <c r="X12" s="10" t="s">
        <v>65</v>
      </c>
      <c r="Y12" s="10" t="s">
        <v>66</v>
      </c>
      <c r="Z12" s="10" t="s">
        <v>67</v>
      </c>
      <c r="AA12" s="10" t="s">
        <v>158</v>
      </c>
      <c r="AB12" s="10" t="s">
        <v>243</v>
      </c>
      <c r="AC12" s="10">
        <v>16</v>
      </c>
      <c r="AD12" s="32" t="s">
        <v>159</v>
      </c>
      <c r="AE12" s="32" t="s">
        <v>160</v>
      </c>
      <c r="AF12" s="32" t="s">
        <v>161</v>
      </c>
      <c r="AG12" s="10">
        <v>17</v>
      </c>
      <c r="AH12" s="4"/>
    </row>
    <row r="13" spans="1:34" ht="13.35" customHeight="1" x14ac:dyDescent="0.25">
      <c r="A13" s="1" t="s">
        <v>167</v>
      </c>
      <c r="B13" s="11">
        <v>1</v>
      </c>
      <c r="C13" s="12" t="s">
        <v>69</v>
      </c>
      <c r="D13" s="12">
        <v>2</v>
      </c>
      <c r="E13" s="13">
        <v>83.13</v>
      </c>
      <c r="F13" s="137">
        <f t="shared" ref="F13:F19" si="0">E13*2652.48+0.4025</f>
        <v>220501.0649</v>
      </c>
      <c r="G13" s="137">
        <f t="shared" ref="G13:G19" si="1">F13/60</f>
        <v>3675.0177483333332</v>
      </c>
      <c r="H13" s="137">
        <f>F13*1.5%</f>
        <v>3307.5159734999997</v>
      </c>
      <c r="I13" s="137">
        <v>0</v>
      </c>
      <c r="J13" s="137">
        <f t="shared" ref="J13:J19" si="2">G13+H13+I13</f>
        <v>6982.5337218333334</v>
      </c>
      <c r="K13" s="137">
        <f>+J13/12</f>
        <v>581.87781015277778</v>
      </c>
      <c r="L13" s="137"/>
      <c r="M13" s="137">
        <f t="shared" ref="M13:M19" si="3">+J13*(100%+5.6%)</f>
        <v>7373.5556102560004</v>
      </c>
      <c r="N13" s="137">
        <f>+K13*N11</f>
        <v>407.31446710694445</v>
      </c>
      <c r="O13" s="137">
        <f>+N13*O11</f>
        <v>325.85157368555559</v>
      </c>
      <c r="P13" s="137">
        <f>+N13*P11</f>
        <v>366.58302039624999</v>
      </c>
      <c r="Q13" s="137">
        <f>+N13*Q11</f>
        <v>407.31446710694445</v>
      </c>
      <c r="R13" s="137"/>
      <c r="S13" s="137"/>
      <c r="T13" s="137"/>
      <c r="U13" s="137"/>
      <c r="V13" s="138"/>
      <c r="W13" s="137"/>
      <c r="X13" s="137"/>
      <c r="Y13" s="137">
        <v>0</v>
      </c>
      <c r="Z13" s="137"/>
      <c r="AA13" s="137"/>
      <c r="AB13" s="137"/>
      <c r="AC13" s="137">
        <f>K13</f>
        <v>581.87781015277778</v>
      </c>
      <c r="AD13" s="137"/>
      <c r="AE13" s="137">
        <f>G13/12</f>
        <v>306.25147902777775</v>
      </c>
      <c r="AF13" s="139">
        <f>AE13/AC13*100</f>
        <v>52.631578947368418</v>
      </c>
      <c r="AG13" s="140"/>
      <c r="AH13" s="4"/>
    </row>
    <row r="14" spans="1:34" ht="13.35" customHeight="1" x14ac:dyDescent="0.25">
      <c r="A14" s="1" t="s">
        <v>168</v>
      </c>
      <c r="B14" s="11">
        <v>2</v>
      </c>
      <c r="C14" s="12" t="s">
        <v>70</v>
      </c>
      <c r="D14" s="12">
        <v>2</v>
      </c>
      <c r="E14" s="13">
        <v>84.24</v>
      </c>
      <c r="F14" s="137">
        <f t="shared" si="0"/>
        <v>223445.31769999999</v>
      </c>
      <c r="G14" s="137">
        <f t="shared" si="1"/>
        <v>3724.088628333333</v>
      </c>
      <c r="H14" s="137">
        <f t="shared" ref="H14:H19" si="4">F14*1.5%</f>
        <v>3351.6797654999996</v>
      </c>
      <c r="I14" s="137">
        <v>0</v>
      </c>
      <c r="J14" s="137">
        <f t="shared" si="2"/>
        <v>7075.7683938333321</v>
      </c>
      <c r="K14" s="137">
        <f>J14/12</f>
        <v>589.64736615277764</v>
      </c>
      <c r="L14" s="137"/>
      <c r="M14" s="137">
        <f t="shared" si="3"/>
        <v>7472.0114238879987</v>
      </c>
      <c r="N14" s="137">
        <f>+K14*N11</f>
        <v>412.75315630694433</v>
      </c>
      <c r="O14" s="137">
        <f>+N14*O11</f>
        <v>330.20252504555549</v>
      </c>
      <c r="P14" s="137">
        <f>+N14*P11</f>
        <v>371.47784067624991</v>
      </c>
      <c r="Q14" s="137">
        <f>+N14*Q11</f>
        <v>412.75315630694433</v>
      </c>
      <c r="R14" s="137"/>
      <c r="S14" s="137"/>
      <c r="T14" s="137"/>
      <c r="U14" s="137"/>
      <c r="V14" s="138"/>
      <c r="W14" s="137"/>
      <c r="X14" s="137"/>
      <c r="Y14" s="137">
        <v>0</v>
      </c>
      <c r="Z14" s="137"/>
      <c r="AA14" s="137"/>
      <c r="AB14" s="137"/>
      <c r="AC14" s="137">
        <f t="shared" ref="AC14:AC19" si="5">K14</f>
        <v>589.64736615277764</v>
      </c>
      <c r="AD14" s="137"/>
      <c r="AE14" s="137">
        <f t="shared" ref="AE14:AE19" si="6">G14/12</f>
        <v>310.34071902777777</v>
      </c>
      <c r="AF14" s="139">
        <f t="shared" ref="AF14:AF19" si="7">AE14/AC14*100</f>
        <v>52.631578947368432</v>
      </c>
      <c r="AG14" s="140"/>
      <c r="AH14" s="4"/>
    </row>
    <row r="15" spans="1:34" ht="13.35" customHeight="1" x14ac:dyDescent="0.25">
      <c r="A15" s="1" t="s">
        <v>169</v>
      </c>
      <c r="B15" s="11">
        <v>3</v>
      </c>
      <c r="C15" s="12" t="s">
        <v>72</v>
      </c>
      <c r="D15" s="12">
        <v>2</v>
      </c>
      <c r="E15" s="13">
        <v>83.6</v>
      </c>
      <c r="F15" s="137">
        <f t="shared" si="0"/>
        <v>221747.73049999998</v>
      </c>
      <c r="G15" s="137">
        <f t="shared" si="1"/>
        <v>3695.7955083333331</v>
      </c>
      <c r="H15" s="137">
        <f t="shared" si="4"/>
        <v>3326.2159574999996</v>
      </c>
      <c r="I15" s="137">
        <v>0</v>
      </c>
      <c r="J15" s="137">
        <f t="shared" si="2"/>
        <v>7022.0114658333332</v>
      </c>
      <c r="K15" s="137">
        <f t="shared" ref="K15:K19" si="8">+J15/12</f>
        <v>585.16762215277777</v>
      </c>
      <c r="L15" s="137"/>
      <c r="M15" s="137">
        <f t="shared" si="3"/>
        <v>7415.2441079199998</v>
      </c>
      <c r="N15" s="137">
        <f>+K15*N11</f>
        <v>409.61733550694441</v>
      </c>
      <c r="O15" s="137">
        <f>+N15*O11</f>
        <v>327.69386840555558</v>
      </c>
      <c r="P15" s="137">
        <f>+N15*P11</f>
        <v>368.65560195625</v>
      </c>
      <c r="Q15" s="137">
        <f>+N15*Q11</f>
        <v>409.61733550694441</v>
      </c>
      <c r="R15" s="137"/>
      <c r="S15" s="137"/>
      <c r="T15" s="137"/>
      <c r="U15" s="137"/>
      <c r="V15" s="138"/>
      <c r="W15" s="137"/>
      <c r="X15" s="137"/>
      <c r="Y15" s="137">
        <v>0</v>
      </c>
      <c r="Z15" s="137"/>
      <c r="AA15" s="137"/>
      <c r="AB15" s="137"/>
      <c r="AC15" s="137">
        <f t="shared" si="5"/>
        <v>585.16762215277777</v>
      </c>
      <c r="AD15" s="137"/>
      <c r="AE15" s="137">
        <f t="shared" si="6"/>
        <v>307.98295902777778</v>
      </c>
      <c r="AF15" s="139">
        <f t="shared" si="7"/>
        <v>52.631578947368418</v>
      </c>
      <c r="AG15" s="140"/>
      <c r="AH15" s="4"/>
    </row>
    <row r="16" spans="1:34" ht="13.35" customHeight="1" x14ac:dyDescent="0.25">
      <c r="A16" s="1" t="s">
        <v>170</v>
      </c>
      <c r="B16" s="11">
        <v>4</v>
      </c>
      <c r="C16" s="12" t="s">
        <v>73</v>
      </c>
      <c r="D16" s="12">
        <v>2</v>
      </c>
      <c r="E16" s="13">
        <v>83.42</v>
      </c>
      <c r="F16" s="137">
        <f t="shared" si="0"/>
        <v>221270.28409999999</v>
      </c>
      <c r="G16" s="137">
        <f t="shared" si="1"/>
        <v>3687.838068333333</v>
      </c>
      <c r="H16" s="137">
        <f t="shared" si="4"/>
        <v>3319.0542614999999</v>
      </c>
      <c r="I16" s="137">
        <v>0</v>
      </c>
      <c r="J16" s="137">
        <f t="shared" si="2"/>
        <v>7006.892329833333</v>
      </c>
      <c r="K16" s="137">
        <f t="shared" si="8"/>
        <v>583.90769415277771</v>
      </c>
      <c r="L16" s="137"/>
      <c r="M16" s="137">
        <f t="shared" si="3"/>
        <v>7399.2783003040004</v>
      </c>
      <c r="N16" s="137">
        <f>+K16*N11</f>
        <v>408.73538590694437</v>
      </c>
      <c r="O16" s="137">
        <f>+N16*O11</f>
        <v>326.9883087255555</v>
      </c>
      <c r="P16" s="137">
        <f>+N16*P11</f>
        <v>367.86184731624996</v>
      </c>
      <c r="Q16" s="137">
        <f>+N16*Q11</f>
        <v>408.73538590694437</v>
      </c>
      <c r="R16" s="137"/>
      <c r="S16" s="137"/>
      <c r="T16" s="137"/>
      <c r="U16" s="137"/>
      <c r="V16" s="138"/>
      <c r="W16" s="137"/>
      <c r="X16" s="137"/>
      <c r="Y16" s="137">
        <v>0</v>
      </c>
      <c r="Z16" s="137"/>
      <c r="AA16" s="137"/>
      <c r="AB16" s="137"/>
      <c r="AC16" s="137">
        <f t="shared" si="5"/>
        <v>583.90769415277771</v>
      </c>
      <c r="AD16" s="137"/>
      <c r="AE16" s="137">
        <f t="shared" si="6"/>
        <v>307.31983902777773</v>
      </c>
      <c r="AF16" s="139">
        <f t="shared" si="7"/>
        <v>52.631578947368418</v>
      </c>
      <c r="AG16" s="140"/>
      <c r="AH16" s="4"/>
    </row>
    <row r="17" spans="1:34" ht="13.35" customHeight="1" x14ac:dyDescent="0.25">
      <c r="A17" s="1" t="s">
        <v>171</v>
      </c>
      <c r="B17" s="11">
        <v>5</v>
      </c>
      <c r="C17" s="12" t="s">
        <v>74</v>
      </c>
      <c r="D17" s="12">
        <v>2</v>
      </c>
      <c r="E17" s="13">
        <v>84.38</v>
      </c>
      <c r="F17" s="137">
        <f t="shared" si="0"/>
        <v>223816.66489999997</v>
      </c>
      <c r="G17" s="137">
        <f t="shared" si="1"/>
        <v>3730.277748333333</v>
      </c>
      <c r="H17" s="137">
        <f t="shared" si="4"/>
        <v>3357.2499734999997</v>
      </c>
      <c r="I17" s="137">
        <v>0</v>
      </c>
      <c r="J17" s="137">
        <f t="shared" si="2"/>
        <v>7087.5277218333322</v>
      </c>
      <c r="K17" s="137">
        <f t="shared" si="8"/>
        <v>590.62731015277768</v>
      </c>
      <c r="L17" s="137"/>
      <c r="M17" s="137">
        <f t="shared" si="3"/>
        <v>7484.4292742559992</v>
      </c>
      <c r="N17" s="137">
        <v>402.54</v>
      </c>
      <c r="O17" s="137">
        <f>+N17*O11</f>
        <v>322.03200000000004</v>
      </c>
      <c r="P17" s="137">
        <f>+N17*P11</f>
        <v>362.286</v>
      </c>
      <c r="Q17" s="137">
        <f>+N17*Q11</f>
        <v>402.54</v>
      </c>
      <c r="R17" s="137"/>
      <c r="S17" s="137"/>
      <c r="T17" s="137"/>
      <c r="U17" s="137"/>
      <c r="V17" s="138"/>
      <c r="W17" s="137"/>
      <c r="X17" s="137"/>
      <c r="Y17" s="137">
        <v>0</v>
      </c>
      <c r="Z17" s="137"/>
      <c r="AA17" s="137"/>
      <c r="AB17" s="137"/>
      <c r="AC17" s="137">
        <f t="shared" si="5"/>
        <v>590.62731015277768</v>
      </c>
      <c r="AD17" s="137"/>
      <c r="AE17" s="137">
        <f t="shared" si="6"/>
        <v>310.85647902777777</v>
      </c>
      <c r="AF17" s="139">
        <f t="shared" si="7"/>
        <v>52.631578947368432</v>
      </c>
      <c r="AG17" s="140"/>
      <c r="AH17" s="4"/>
    </row>
    <row r="18" spans="1:34" ht="13.35" customHeight="1" x14ac:dyDescent="0.25">
      <c r="A18" s="1" t="s">
        <v>172</v>
      </c>
      <c r="B18" s="11">
        <v>6</v>
      </c>
      <c r="C18" s="12" t="s">
        <v>75</v>
      </c>
      <c r="D18" s="12">
        <v>2</v>
      </c>
      <c r="E18" s="13">
        <v>84.7</v>
      </c>
      <c r="F18" s="137">
        <f t="shared" si="0"/>
        <v>224665.45850000001</v>
      </c>
      <c r="G18" s="137">
        <f t="shared" si="1"/>
        <v>3744.4243083333336</v>
      </c>
      <c r="H18" s="137">
        <f t="shared" si="4"/>
        <v>3369.9818774999999</v>
      </c>
      <c r="I18" s="137">
        <v>0</v>
      </c>
      <c r="J18" s="137">
        <f t="shared" si="2"/>
        <v>7114.4061858333334</v>
      </c>
      <c r="K18" s="137">
        <f t="shared" si="8"/>
        <v>592.86718215277779</v>
      </c>
      <c r="L18" s="137"/>
      <c r="M18" s="137">
        <f t="shared" si="3"/>
        <v>7512.8129322400009</v>
      </c>
      <c r="N18" s="137">
        <f>+K18*N11</f>
        <v>415.00702750694444</v>
      </c>
      <c r="O18" s="137">
        <f>+N18*O11</f>
        <v>332.00562200555555</v>
      </c>
      <c r="P18" s="137">
        <f>+N18*P11</f>
        <v>373.50632475625002</v>
      </c>
      <c r="Q18" s="137">
        <f>+N18*Q11</f>
        <v>415.00702750694444</v>
      </c>
      <c r="R18" s="137"/>
      <c r="S18" s="137"/>
      <c r="T18" s="137"/>
      <c r="U18" s="137"/>
      <c r="V18" s="138"/>
      <c r="W18" s="137"/>
      <c r="X18" s="137"/>
      <c r="Y18" s="137">
        <v>0</v>
      </c>
      <c r="Z18" s="137"/>
      <c r="AA18" s="137"/>
      <c r="AB18" s="137"/>
      <c r="AC18" s="137">
        <f t="shared" si="5"/>
        <v>592.86718215277779</v>
      </c>
      <c r="AD18" s="137"/>
      <c r="AE18" s="137">
        <f t="shared" si="6"/>
        <v>312.03535902777782</v>
      </c>
      <c r="AF18" s="139">
        <f t="shared" si="7"/>
        <v>52.631578947368432</v>
      </c>
      <c r="AG18" s="140"/>
      <c r="AH18" s="4"/>
    </row>
    <row r="19" spans="1:34" ht="13.35" customHeight="1" x14ac:dyDescent="0.25">
      <c r="A19" s="1" t="s">
        <v>173</v>
      </c>
      <c r="B19" s="11">
        <v>7</v>
      </c>
      <c r="C19" s="12" t="s">
        <v>76</v>
      </c>
      <c r="D19" s="12">
        <v>2</v>
      </c>
      <c r="E19" s="13">
        <v>84.53</v>
      </c>
      <c r="F19" s="137">
        <f t="shared" si="0"/>
        <v>224214.53690000001</v>
      </c>
      <c r="G19" s="137">
        <f t="shared" si="1"/>
        <v>3736.9089483333332</v>
      </c>
      <c r="H19" s="137">
        <f t="shared" si="4"/>
        <v>3363.2180534999998</v>
      </c>
      <c r="I19" s="137">
        <v>0</v>
      </c>
      <c r="J19" s="137">
        <f t="shared" si="2"/>
        <v>7100.1270018333325</v>
      </c>
      <c r="K19" s="137">
        <f t="shared" si="8"/>
        <v>591.67725015277767</v>
      </c>
      <c r="L19" s="137"/>
      <c r="M19" s="137">
        <f t="shared" si="3"/>
        <v>7497.7341139359996</v>
      </c>
      <c r="N19" s="137">
        <f>+K19*N11</f>
        <v>414.17407510694437</v>
      </c>
      <c r="O19" s="137">
        <f>+N19*O11</f>
        <v>331.33926008555551</v>
      </c>
      <c r="P19" s="137">
        <v>369.06</v>
      </c>
      <c r="Q19" s="137">
        <f>+N19*Q11</f>
        <v>414.17407510694437</v>
      </c>
      <c r="R19" s="137"/>
      <c r="S19" s="137"/>
      <c r="T19" s="137"/>
      <c r="U19" s="137"/>
      <c r="V19" s="138"/>
      <c r="W19" s="137"/>
      <c r="X19" s="137"/>
      <c r="Y19" s="137">
        <v>0</v>
      </c>
      <c r="Z19" s="137"/>
      <c r="AA19" s="137"/>
      <c r="AB19" s="137"/>
      <c r="AC19" s="137">
        <f t="shared" si="5"/>
        <v>591.67725015277767</v>
      </c>
      <c r="AD19" s="137"/>
      <c r="AE19" s="137">
        <f t="shared" si="6"/>
        <v>311.40907902777775</v>
      </c>
      <c r="AF19" s="139">
        <f t="shared" si="7"/>
        <v>52.631578947368432</v>
      </c>
      <c r="AG19" s="140"/>
      <c r="AH19" s="4"/>
    </row>
    <row r="20" spans="1:34" ht="13.35" customHeight="1" x14ac:dyDescent="0.25">
      <c r="B20" s="8"/>
      <c r="C20" s="190" t="s">
        <v>77</v>
      </c>
      <c r="D20" s="190"/>
      <c r="E20" s="16">
        <f>+E19+E18+E17+E16+E15++E14+E13</f>
        <v>588</v>
      </c>
      <c r="F20" s="141">
        <f>SUM(F13:F19)-0.01</f>
        <v>1559661.0474999999</v>
      </c>
      <c r="G20" s="141">
        <f>SUM(G13:G19)</f>
        <v>25994.350958333333</v>
      </c>
      <c r="H20" s="141">
        <f>SUM(H13:H19)-0.01</f>
        <v>23394.9058625</v>
      </c>
      <c r="I20" s="141">
        <v>0</v>
      </c>
      <c r="J20" s="141">
        <f>SUM(J13:J19)-0.01</f>
        <v>49389.256820833318</v>
      </c>
      <c r="K20" s="141">
        <f>SUM(K13:K19)</f>
        <v>4115.7722350694439</v>
      </c>
      <c r="L20" s="141"/>
      <c r="M20" s="141">
        <f>SUM(M13:M19)</f>
        <v>52155.065762799997</v>
      </c>
      <c r="N20" s="141">
        <f>SUM(N13:N19)</f>
        <v>2870.1414474416661</v>
      </c>
      <c r="O20" s="141">
        <f>SUM(O13:O19)-0.01</f>
        <v>2296.1031579533333</v>
      </c>
      <c r="P20" s="141">
        <f>SUM(P13:P19)</f>
        <v>2579.4306351012497</v>
      </c>
      <c r="Q20" s="141">
        <f>SUM(Q13:Q19)</f>
        <v>2870.1414474416661</v>
      </c>
      <c r="R20" s="141"/>
      <c r="S20" s="141">
        <f>SUM(S13:S19)</f>
        <v>0</v>
      </c>
      <c r="T20" s="141">
        <f t="shared" ref="T20:U20" si="9">SUM(T13:T19)</f>
        <v>0</v>
      </c>
      <c r="U20" s="141">
        <f t="shared" si="9"/>
        <v>0</v>
      </c>
      <c r="V20" s="141">
        <f t="shared" ref="V20:W20" si="10">SUM(V11:V19)</f>
        <v>0.1</v>
      </c>
      <c r="W20" s="141">
        <f t="shared" si="10"/>
        <v>0</v>
      </c>
      <c r="X20" s="141">
        <f t="shared" ref="X20:AG20" si="11">SUM(X13:X19)</f>
        <v>0</v>
      </c>
      <c r="Y20" s="141">
        <f t="shared" si="11"/>
        <v>0</v>
      </c>
      <c r="Z20" s="141">
        <f t="shared" si="11"/>
        <v>0</v>
      </c>
      <c r="AA20" s="141">
        <f t="shared" si="11"/>
        <v>0</v>
      </c>
      <c r="AB20" s="141">
        <f t="shared" si="11"/>
        <v>0</v>
      </c>
      <c r="AC20" s="141">
        <f t="shared" si="11"/>
        <v>4115.7722350694439</v>
      </c>
      <c r="AD20" s="141">
        <f t="shared" si="11"/>
        <v>0</v>
      </c>
      <c r="AE20" s="141">
        <f t="shared" si="11"/>
        <v>2166.1959131944445</v>
      </c>
      <c r="AF20" s="141">
        <f t="shared" si="11"/>
        <v>368.42105263157896</v>
      </c>
      <c r="AG20" s="141">
        <f t="shared" si="11"/>
        <v>0</v>
      </c>
      <c r="AH20" s="4"/>
    </row>
    <row r="21" spans="1:34" x14ac:dyDescent="0.25">
      <c r="B21" s="4"/>
      <c r="C21" s="17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4"/>
    </row>
    <row r="22" spans="1:34" x14ac:dyDescent="0.25">
      <c r="B22" s="4"/>
      <c r="C22" s="135"/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4"/>
    </row>
    <row r="23" spans="1:34" x14ac:dyDescent="0.25">
      <c r="B23" s="4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4"/>
    </row>
    <row r="24" spans="1:34" x14ac:dyDescent="0.25">
      <c r="B24" s="4"/>
      <c r="C24" s="17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4"/>
    </row>
    <row r="25" spans="1:34" x14ac:dyDescent="0.25">
      <c r="B25" s="4"/>
      <c r="C25" s="17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4"/>
    </row>
    <row r="26" spans="1:34" ht="12.95" customHeight="1" x14ac:dyDescent="0.25">
      <c r="B26" s="4"/>
      <c r="C26" s="191"/>
      <c r="D26" s="191"/>
      <c r="E26" s="4"/>
      <c r="F26" s="4"/>
      <c r="G26" s="4"/>
      <c r="H26" s="4"/>
      <c r="I26" s="4"/>
      <c r="J26" s="2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x14ac:dyDescent="0.25">
      <c r="B27" s="3"/>
      <c r="C27" s="4"/>
      <c r="D27" s="6" t="s">
        <v>42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x14ac:dyDescent="0.25">
      <c r="B28" s="3"/>
      <c r="C28" s="4"/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6.25" customHeight="1" x14ac:dyDescent="0.25">
      <c r="B29" s="173" t="s">
        <v>1</v>
      </c>
      <c r="C29" s="175" t="s">
        <v>56</v>
      </c>
      <c r="D29" s="167" t="s">
        <v>3</v>
      </c>
      <c r="E29" s="167" t="s">
        <v>4</v>
      </c>
      <c r="F29" s="167" t="s">
        <v>5</v>
      </c>
      <c r="G29" s="167" t="s">
        <v>6</v>
      </c>
      <c r="H29" s="167" t="s">
        <v>7</v>
      </c>
      <c r="I29" s="167" t="s">
        <v>8</v>
      </c>
      <c r="J29" s="167" t="s">
        <v>9</v>
      </c>
      <c r="K29" s="167" t="s">
        <v>57</v>
      </c>
      <c r="L29" s="23" t="s">
        <v>10</v>
      </c>
      <c r="M29" s="23" t="s">
        <v>10</v>
      </c>
      <c r="N29" s="23" t="s">
        <v>12</v>
      </c>
      <c r="O29" s="169" t="s">
        <v>13</v>
      </c>
      <c r="P29" s="170"/>
      <c r="Q29" s="171"/>
      <c r="R29" s="167" t="s">
        <v>14</v>
      </c>
      <c r="S29" s="183" t="s">
        <v>58</v>
      </c>
      <c r="T29" s="184"/>
      <c r="U29" s="184"/>
      <c r="V29" s="185"/>
      <c r="W29" s="165" t="s">
        <v>21</v>
      </c>
      <c r="X29" s="167" t="s">
        <v>9</v>
      </c>
      <c r="Y29" s="23" t="s">
        <v>245</v>
      </c>
      <c r="Z29" s="23" t="s">
        <v>246</v>
      </c>
      <c r="AA29" s="23" t="s">
        <v>157</v>
      </c>
      <c r="AB29" s="165" t="s">
        <v>59</v>
      </c>
      <c r="AC29" s="186" t="s">
        <v>18</v>
      </c>
      <c r="AD29" s="187"/>
      <c r="AE29" s="187"/>
      <c r="AF29" s="187"/>
      <c r="AG29" s="163" t="s">
        <v>19</v>
      </c>
      <c r="AH29" s="4"/>
    </row>
    <row r="30" spans="1:34" ht="42" customHeight="1" x14ac:dyDescent="0.25">
      <c r="B30" s="174"/>
      <c r="C30" s="176"/>
      <c r="D30" s="168"/>
      <c r="E30" s="168"/>
      <c r="F30" s="168"/>
      <c r="G30" s="168"/>
      <c r="H30" s="168"/>
      <c r="I30" s="168"/>
      <c r="J30" s="168"/>
      <c r="K30" s="168"/>
      <c r="L30" s="23">
        <v>5.6</v>
      </c>
      <c r="M30" s="23">
        <v>5.6</v>
      </c>
      <c r="N30" s="23">
        <v>0.7</v>
      </c>
      <c r="O30" s="24">
        <v>0.8</v>
      </c>
      <c r="P30" s="25">
        <v>0.9</v>
      </c>
      <c r="Q30" s="29">
        <v>1</v>
      </c>
      <c r="R30" s="168"/>
      <c r="S30" s="30">
        <v>0.1</v>
      </c>
      <c r="T30" s="31">
        <v>0.2</v>
      </c>
      <c r="U30" s="31">
        <v>0.3</v>
      </c>
      <c r="V30" s="31">
        <v>0.1</v>
      </c>
      <c r="W30" s="166"/>
      <c r="X30" s="168"/>
      <c r="Y30" s="23">
        <v>10.4</v>
      </c>
      <c r="Z30" s="23">
        <v>5.6</v>
      </c>
      <c r="AA30" s="23"/>
      <c r="AB30" s="166"/>
      <c r="AC30" s="34" t="s">
        <v>20</v>
      </c>
      <c r="AD30" s="34" t="s">
        <v>21</v>
      </c>
      <c r="AE30" s="34" t="s">
        <v>22</v>
      </c>
      <c r="AF30" s="34" t="s">
        <v>23</v>
      </c>
      <c r="AG30" s="164"/>
      <c r="AH30" s="4"/>
    </row>
    <row r="31" spans="1:34" x14ac:dyDescent="0.25">
      <c r="B31" s="8"/>
      <c r="C31" s="9"/>
      <c r="D31" s="10">
        <v>0</v>
      </c>
      <c r="E31" s="10">
        <v>1</v>
      </c>
      <c r="F31" s="10">
        <v>2</v>
      </c>
      <c r="G31" s="10" t="s">
        <v>24</v>
      </c>
      <c r="H31" s="10" t="s">
        <v>25</v>
      </c>
      <c r="I31" s="10" t="s">
        <v>26</v>
      </c>
      <c r="J31" s="10" t="s">
        <v>27</v>
      </c>
      <c r="K31" s="26" t="s">
        <v>60</v>
      </c>
      <c r="L31" s="10" t="s">
        <v>61</v>
      </c>
      <c r="M31" s="10" t="s">
        <v>61</v>
      </c>
      <c r="N31" s="10" t="s">
        <v>62</v>
      </c>
      <c r="O31" s="10" t="s">
        <v>63</v>
      </c>
      <c r="P31" s="10" t="s">
        <v>63</v>
      </c>
      <c r="Q31" s="10" t="s">
        <v>63</v>
      </c>
      <c r="R31" s="10">
        <v>9</v>
      </c>
      <c r="S31" s="32" t="s">
        <v>163</v>
      </c>
      <c r="T31" s="32" t="s">
        <v>164</v>
      </c>
      <c r="U31" s="32" t="s">
        <v>165</v>
      </c>
      <c r="V31" s="32" t="s">
        <v>166</v>
      </c>
      <c r="W31" s="32" t="s">
        <v>64</v>
      </c>
      <c r="X31" s="10" t="s">
        <v>65</v>
      </c>
      <c r="Y31" s="10" t="s">
        <v>66</v>
      </c>
      <c r="Z31" s="10" t="s">
        <v>67</v>
      </c>
      <c r="AA31" s="10" t="s">
        <v>158</v>
      </c>
      <c r="AB31" s="10" t="s">
        <v>243</v>
      </c>
      <c r="AC31" s="10">
        <v>16</v>
      </c>
      <c r="AD31" s="32" t="s">
        <v>159</v>
      </c>
      <c r="AE31" s="32" t="s">
        <v>160</v>
      </c>
      <c r="AF31" s="32" t="s">
        <v>161</v>
      </c>
      <c r="AG31" s="10">
        <v>17</v>
      </c>
      <c r="AH31" s="4"/>
    </row>
    <row r="32" spans="1:34" ht="13.15" customHeight="1" x14ac:dyDescent="0.25">
      <c r="A32" s="1" t="s">
        <v>174</v>
      </c>
      <c r="B32" s="11">
        <v>1</v>
      </c>
      <c r="C32" s="12" t="s">
        <v>78</v>
      </c>
      <c r="D32" s="12">
        <v>2</v>
      </c>
      <c r="E32" s="19">
        <v>76.97</v>
      </c>
      <c r="F32" s="14">
        <f>E32*2652.48+0.4025</f>
        <v>204161.78810000001</v>
      </c>
      <c r="G32" s="15">
        <f>F32/60</f>
        <v>3402.6964683333335</v>
      </c>
      <c r="H32" s="15">
        <f>F32*1.5%</f>
        <v>3062.4268215000002</v>
      </c>
      <c r="I32" s="15">
        <f>F32*0.5%</f>
        <v>1020.8089405000001</v>
      </c>
      <c r="J32" s="15">
        <f>G32+H32+I32</f>
        <v>7485.9322303333338</v>
      </c>
      <c r="K32" s="15">
        <f>+J32/12</f>
        <v>623.82768586111115</v>
      </c>
      <c r="L32" s="15"/>
      <c r="M32" s="15">
        <f>+J32*(100%*5.65%)</f>
        <v>422.95517101383336</v>
      </c>
      <c r="N32" s="15">
        <f>+K32*N30</f>
        <v>436.67938010277777</v>
      </c>
      <c r="O32" s="15">
        <f>+N32*O30</f>
        <v>349.34350408222224</v>
      </c>
      <c r="P32" s="15">
        <f>+N32*P30</f>
        <v>393.01144209249998</v>
      </c>
      <c r="Q32" s="15">
        <f>+N32*Q30</f>
        <v>436.67938010277777</v>
      </c>
      <c r="R32" s="15"/>
      <c r="S32" s="15"/>
      <c r="T32" s="15"/>
      <c r="U32" s="15"/>
      <c r="V32" s="15"/>
      <c r="W32" s="15"/>
      <c r="X32" s="15"/>
      <c r="Y32" s="15">
        <v>0</v>
      </c>
      <c r="Z32" s="15"/>
      <c r="AA32" s="40"/>
      <c r="AB32" s="15"/>
      <c r="AC32" s="15">
        <f>K32</f>
        <v>623.82768586111115</v>
      </c>
      <c r="AD32" s="15">
        <f t="shared" ref="AD32:AD40" si="12">AA32</f>
        <v>0</v>
      </c>
      <c r="AE32" s="15">
        <f t="shared" ref="AE32:AE40" si="13">G32/12</f>
        <v>283.5580390277778</v>
      </c>
      <c r="AF32" s="35">
        <f>AE32/AC32*100</f>
        <v>45.454545454545453</v>
      </c>
      <c r="AG32" s="36">
        <f>AD32*AF32</f>
        <v>0</v>
      </c>
      <c r="AH32" s="4"/>
    </row>
    <row r="33" spans="1:34" ht="12" customHeight="1" x14ac:dyDescent="0.25">
      <c r="A33" s="1" t="s">
        <v>175</v>
      </c>
      <c r="B33" s="11">
        <v>2</v>
      </c>
      <c r="C33" s="12" t="s">
        <v>79</v>
      </c>
      <c r="D33" s="12">
        <v>2</v>
      </c>
      <c r="E33" s="19">
        <v>77.83</v>
      </c>
      <c r="F33" s="14">
        <f>E33*2652.48+0.4025+0.01</f>
        <v>206442.93090000001</v>
      </c>
      <c r="G33" s="15">
        <f t="shared" ref="G33:G40" si="14">F33/60</f>
        <v>3440.7155150000003</v>
      </c>
      <c r="H33" s="15">
        <f t="shared" ref="H33:H40" si="15">F33*1.5%</f>
        <v>3096.6439635000002</v>
      </c>
      <c r="I33" s="15">
        <f t="shared" ref="I33:I40" si="16">F33*0.5%</f>
        <v>1032.2146545000001</v>
      </c>
      <c r="J33" s="40">
        <f t="shared" ref="J33:J40" si="17">G33+H33+I33</f>
        <v>7569.5741330000001</v>
      </c>
      <c r="K33" s="40">
        <f t="shared" ref="K33:K40" si="18">+J33/12</f>
        <v>630.79784441666663</v>
      </c>
      <c r="L33" s="15"/>
      <c r="M33" s="15">
        <f t="shared" ref="M33:M40" si="19">+J33*(100%*5.65%)</f>
        <v>427.68093851450004</v>
      </c>
      <c r="N33" s="15">
        <f>+K33*N30</f>
        <v>441.55849109166661</v>
      </c>
      <c r="O33" s="15">
        <f>+N33*O30</f>
        <v>353.24679287333333</v>
      </c>
      <c r="P33" s="15">
        <f>+N33*P30</f>
        <v>397.40264198249997</v>
      </c>
      <c r="Q33" s="15">
        <f>+N33*Q30</f>
        <v>441.55849109166661</v>
      </c>
      <c r="R33" s="15"/>
      <c r="S33" s="15"/>
      <c r="T33" s="15"/>
      <c r="U33" s="15"/>
      <c r="V33" s="15"/>
      <c r="W33" s="15"/>
      <c r="X33" s="15"/>
      <c r="Y33" s="15">
        <v>0</v>
      </c>
      <c r="Z33" s="15"/>
      <c r="AA33" s="40"/>
      <c r="AB33" s="40"/>
      <c r="AC33" s="15">
        <f>K33</f>
        <v>630.79784441666663</v>
      </c>
      <c r="AD33" s="15">
        <f t="shared" si="12"/>
        <v>0</v>
      </c>
      <c r="AE33" s="15">
        <f t="shared" si="13"/>
        <v>286.72629291666669</v>
      </c>
      <c r="AF33" s="50">
        <f t="shared" ref="AF33:AF40" si="20">AE33/AC33*100</f>
        <v>45.45454545454546</v>
      </c>
      <c r="AG33" s="51">
        <f t="shared" ref="AG33:AG40" si="21">AD33*AF33</f>
        <v>0</v>
      </c>
      <c r="AH33" s="4"/>
    </row>
    <row r="34" spans="1:34" ht="12" customHeight="1" x14ac:dyDescent="0.25">
      <c r="A34" s="1" t="s">
        <v>176</v>
      </c>
      <c r="B34" s="11">
        <v>3</v>
      </c>
      <c r="C34" s="12" t="s">
        <v>80</v>
      </c>
      <c r="D34" s="12">
        <v>2</v>
      </c>
      <c r="E34" s="19">
        <v>76.97</v>
      </c>
      <c r="F34" s="14">
        <f>E34*2652.48+0.4025+0.01</f>
        <v>204161.79810000001</v>
      </c>
      <c r="G34" s="15">
        <f t="shared" si="14"/>
        <v>3402.6966350000002</v>
      </c>
      <c r="H34" s="15">
        <f t="shared" si="15"/>
        <v>3062.4269715</v>
      </c>
      <c r="I34" s="15">
        <f t="shared" si="16"/>
        <v>1020.8089905</v>
      </c>
      <c r="J34" s="40">
        <f t="shared" si="17"/>
        <v>7485.932597</v>
      </c>
      <c r="K34" s="40">
        <f t="shared" si="18"/>
        <v>623.8277164166667</v>
      </c>
      <c r="L34" s="15"/>
      <c r="M34" s="15">
        <f t="shared" si="19"/>
        <v>422.95519173050002</v>
      </c>
      <c r="N34" s="15">
        <f>+K34*N30</f>
        <v>436.67940149166668</v>
      </c>
      <c r="O34" s="15">
        <f>+N34*O30</f>
        <v>349.34352119333334</v>
      </c>
      <c r="P34" s="15">
        <f>+N34*P30</f>
        <v>393.01146134250001</v>
      </c>
      <c r="Q34" s="15">
        <f>+N34*Q30</f>
        <v>436.67940149166668</v>
      </c>
      <c r="R34" s="15">
        <v>977.47</v>
      </c>
      <c r="S34" s="15">
        <f>R34*S30</f>
        <v>97.747000000000014</v>
      </c>
      <c r="T34" s="15">
        <v>0</v>
      </c>
      <c r="U34" s="15">
        <v>0</v>
      </c>
      <c r="V34" s="15">
        <v>0</v>
      </c>
      <c r="W34" s="15">
        <v>369.41</v>
      </c>
      <c r="X34" s="15">
        <v>4432.92</v>
      </c>
      <c r="Y34" s="15">
        <v>0</v>
      </c>
      <c r="Z34" s="15">
        <v>4681.16</v>
      </c>
      <c r="AA34" s="40"/>
      <c r="AB34" s="40">
        <f>AA34/12</f>
        <v>0</v>
      </c>
      <c r="AC34" s="15">
        <f>+K34</f>
        <v>623.8277164166667</v>
      </c>
      <c r="AD34" s="15">
        <v>97.75</v>
      </c>
      <c r="AE34" s="15">
        <f t="shared" si="13"/>
        <v>283.55805291666667</v>
      </c>
      <c r="AF34" s="50">
        <f t="shared" si="20"/>
        <v>45.454545454545453</v>
      </c>
      <c r="AG34" s="51">
        <f>AD34*AF34%</f>
        <v>44.43181818181818</v>
      </c>
      <c r="AH34" s="4"/>
    </row>
    <row r="35" spans="1:34" ht="12" customHeight="1" x14ac:dyDescent="0.25">
      <c r="A35" s="1" t="s">
        <v>177</v>
      </c>
      <c r="B35" s="11">
        <v>4</v>
      </c>
      <c r="C35" s="12" t="s">
        <v>81</v>
      </c>
      <c r="D35" s="12">
        <v>2</v>
      </c>
      <c r="E35" s="19">
        <v>76.83</v>
      </c>
      <c r="F35" s="14">
        <f t="shared" ref="F35:F40" si="22">E35*2652.48+0.4025</f>
        <v>203790.44089999999</v>
      </c>
      <c r="G35" s="15">
        <f t="shared" si="14"/>
        <v>3396.5073483333331</v>
      </c>
      <c r="H35" s="15">
        <f t="shared" si="15"/>
        <v>3056.8566134999996</v>
      </c>
      <c r="I35" s="15">
        <f t="shared" si="16"/>
        <v>1018.9522045</v>
      </c>
      <c r="J35" s="40">
        <f t="shared" si="17"/>
        <v>7472.3161663333331</v>
      </c>
      <c r="K35" s="40">
        <f t="shared" si="18"/>
        <v>622.69301386111113</v>
      </c>
      <c r="L35" s="15"/>
      <c r="M35" s="15">
        <f t="shared" si="19"/>
        <v>422.18586339783332</v>
      </c>
      <c r="N35" s="15">
        <f>+K35*N30</f>
        <v>435.88510970277775</v>
      </c>
      <c r="O35" s="15">
        <f>+N35*O30</f>
        <v>348.70808776222225</v>
      </c>
      <c r="P35" s="15">
        <f>+N35*P30</f>
        <v>392.2965987325</v>
      </c>
      <c r="Q35" s="15">
        <f>+N35*Q30</f>
        <v>435.88510970277775</v>
      </c>
      <c r="R35" s="15"/>
      <c r="S35" s="15"/>
      <c r="T35" s="15"/>
      <c r="U35" s="15"/>
      <c r="V35" s="15"/>
      <c r="W35" s="15"/>
      <c r="X35" s="15"/>
      <c r="Y35" s="15">
        <v>0</v>
      </c>
      <c r="Z35" s="15"/>
      <c r="AA35" s="40"/>
      <c r="AB35" s="40"/>
      <c r="AC35" s="15">
        <f t="shared" ref="AC35:AC40" si="23">K35</f>
        <v>622.69301386111113</v>
      </c>
      <c r="AD35" s="15">
        <f t="shared" si="12"/>
        <v>0</v>
      </c>
      <c r="AE35" s="15">
        <f t="shared" si="13"/>
        <v>283.04227902777774</v>
      </c>
      <c r="AF35" s="50">
        <f t="shared" si="20"/>
        <v>45.454545454545446</v>
      </c>
      <c r="AG35" s="51">
        <f t="shared" si="21"/>
        <v>0</v>
      </c>
      <c r="AH35" s="4"/>
    </row>
    <row r="36" spans="1:34" ht="12" customHeight="1" x14ac:dyDescent="0.25">
      <c r="A36" s="1" t="s">
        <v>178</v>
      </c>
      <c r="B36" s="11">
        <v>5</v>
      </c>
      <c r="C36" s="117" t="s">
        <v>68</v>
      </c>
      <c r="D36" s="38">
        <v>2</v>
      </c>
      <c r="E36" s="13">
        <v>83.9</v>
      </c>
      <c r="F36" s="39">
        <f t="shared" si="22"/>
        <v>222543.47450000001</v>
      </c>
      <c r="G36" s="40">
        <f t="shared" si="14"/>
        <v>3709.0579083333337</v>
      </c>
      <c r="H36" s="40">
        <f t="shared" si="15"/>
        <v>3338.1521175000003</v>
      </c>
      <c r="I36" s="40">
        <f t="shared" si="16"/>
        <v>1112.7173725</v>
      </c>
      <c r="J36" s="40">
        <f t="shared" si="17"/>
        <v>8159.9273983333342</v>
      </c>
      <c r="K36" s="40">
        <f t="shared" si="18"/>
        <v>679.99394986111122</v>
      </c>
      <c r="L36" s="40"/>
      <c r="M36" s="40"/>
      <c r="N36" s="40">
        <f>K36*N30</f>
        <v>475.99576490277781</v>
      </c>
      <c r="O36" s="40">
        <f>N36*O30</f>
        <v>380.79661192222227</v>
      </c>
      <c r="P36" s="40">
        <f>N36*P30</f>
        <v>428.39618841250001</v>
      </c>
      <c r="Q36" s="40">
        <f>N36*Q30</f>
        <v>475.99576490277781</v>
      </c>
      <c r="R36" s="40">
        <v>1358.25</v>
      </c>
      <c r="S36" s="40">
        <f>R36*S30</f>
        <v>135.82500000000002</v>
      </c>
      <c r="T36" s="40">
        <v>0</v>
      </c>
      <c r="U36" s="40">
        <v>0</v>
      </c>
      <c r="V36" s="40">
        <v>0</v>
      </c>
      <c r="W36" s="40">
        <f>O36</f>
        <v>380.79661192222227</v>
      </c>
      <c r="X36" s="40">
        <v>4569.6000000000004</v>
      </c>
      <c r="Y36" s="40">
        <f>X36*(100%+10.4%)</f>
        <v>5044.8384000000005</v>
      </c>
      <c r="Z36" s="40">
        <f>Y36*(100%+5.6%)</f>
        <v>5327.3493504000007</v>
      </c>
      <c r="AA36" s="40"/>
      <c r="AB36" s="40">
        <f>AA36/12</f>
        <v>0</v>
      </c>
      <c r="AC36" s="40">
        <f t="shared" si="23"/>
        <v>679.99394986111122</v>
      </c>
      <c r="AD36" s="40">
        <v>135.83000000000001</v>
      </c>
      <c r="AE36" s="40">
        <f t="shared" si="13"/>
        <v>309.08815902777781</v>
      </c>
      <c r="AF36" s="50">
        <f>AE36/AC36*100</f>
        <v>45.454545454545453</v>
      </c>
      <c r="AG36" s="51">
        <f>AD36*AF36%</f>
        <v>61.740909090909092</v>
      </c>
      <c r="AH36" s="4"/>
    </row>
    <row r="37" spans="1:34" ht="12" customHeight="1" x14ac:dyDescent="0.25">
      <c r="A37" s="1" t="s">
        <v>179</v>
      </c>
      <c r="B37" s="11">
        <v>6</v>
      </c>
      <c r="C37" s="20" t="s">
        <v>82</v>
      </c>
      <c r="D37" s="12">
        <v>2</v>
      </c>
      <c r="E37" s="19">
        <v>82.98</v>
      </c>
      <c r="F37" s="14">
        <f t="shared" si="22"/>
        <v>220103.19289999999</v>
      </c>
      <c r="G37" s="15">
        <f t="shared" si="14"/>
        <v>3668.3865483333334</v>
      </c>
      <c r="H37" s="15">
        <f t="shared" si="15"/>
        <v>3301.5478934999996</v>
      </c>
      <c r="I37" s="15">
        <f t="shared" si="16"/>
        <v>1100.5159645000001</v>
      </c>
      <c r="J37" s="40">
        <f t="shared" si="17"/>
        <v>8070.4504063333334</v>
      </c>
      <c r="K37" s="40">
        <f t="shared" si="18"/>
        <v>672.53753386111111</v>
      </c>
      <c r="L37" s="15"/>
      <c r="M37" s="15">
        <f t="shared" si="19"/>
        <v>455.98044795783335</v>
      </c>
      <c r="N37" s="15">
        <v>466.1</v>
      </c>
      <c r="O37" s="15">
        <f>+N37*O30</f>
        <v>372.88000000000005</v>
      </c>
      <c r="P37" s="15">
        <f>+N37*P30</f>
        <v>419.49</v>
      </c>
      <c r="Q37" s="15">
        <f>+N37*Q30</f>
        <v>466.1</v>
      </c>
      <c r="R37" s="15"/>
      <c r="S37" s="15"/>
      <c r="T37" s="15"/>
      <c r="U37" s="15"/>
      <c r="V37" s="15"/>
      <c r="W37" s="15"/>
      <c r="X37" s="15"/>
      <c r="Y37" s="15">
        <v>0</v>
      </c>
      <c r="Z37" s="15"/>
      <c r="AA37" s="40"/>
      <c r="AB37" s="40"/>
      <c r="AC37" s="15">
        <f t="shared" si="23"/>
        <v>672.53753386111111</v>
      </c>
      <c r="AD37" s="15">
        <f t="shared" si="12"/>
        <v>0</v>
      </c>
      <c r="AE37" s="15">
        <f t="shared" si="13"/>
        <v>305.69887902777776</v>
      </c>
      <c r="AF37" s="50">
        <f t="shared" si="20"/>
        <v>45.454545454545453</v>
      </c>
      <c r="AG37" s="51">
        <f t="shared" si="21"/>
        <v>0</v>
      </c>
      <c r="AH37" s="4"/>
    </row>
    <row r="38" spans="1:34" ht="12" customHeight="1" x14ac:dyDescent="0.25">
      <c r="A38" s="1" t="s">
        <v>180</v>
      </c>
      <c r="B38" s="11">
        <v>7</v>
      </c>
      <c r="C38" s="117" t="s">
        <v>71</v>
      </c>
      <c r="D38" s="38">
        <v>2</v>
      </c>
      <c r="E38" s="13">
        <v>84.43</v>
      </c>
      <c r="F38" s="39">
        <f t="shared" si="22"/>
        <v>223949.28890000001</v>
      </c>
      <c r="G38" s="40">
        <f t="shared" si="14"/>
        <v>3732.4881483333334</v>
      </c>
      <c r="H38" s="40">
        <f t="shared" si="15"/>
        <v>3359.2393335000002</v>
      </c>
      <c r="I38" s="40">
        <f t="shared" si="16"/>
        <v>1119.7464445000001</v>
      </c>
      <c r="J38" s="40">
        <f t="shared" si="17"/>
        <v>8211.473926333334</v>
      </c>
      <c r="K38" s="40">
        <f t="shared" si="18"/>
        <v>684.28949386111117</v>
      </c>
      <c r="L38" s="40"/>
      <c r="M38" s="40"/>
      <c r="N38" s="40">
        <f>K38*N30</f>
        <v>479.00264570277778</v>
      </c>
      <c r="O38" s="40">
        <f>N38*O30</f>
        <v>383.20211656222227</v>
      </c>
      <c r="P38" s="40">
        <f>N38*P30</f>
        <v>431.1023811325</v>
      </c>
      <c r="Q38" s="40">
        <f>N38*Q30</f>
        <v>479.00264570277778</v>
      </c>
      <c r="R38" s="40"/>
      <c r="S38" s="40"/>
      <c r="T38" s="40"/>
      <c r="U38" s="40"/>
      <c r="V38" s="40"/>
      <c r="W38" s="40"/>
      <c r="X38" s="40"/>
      <c r="Y38" s="40">
        <v>0</v>
      </c>
      <c r="Z38" s="40"/>
      <c r="AA38" s="40"/>
      <c r="AB38" s="40"/>
      <c r="AC38" s="40">
        <f t="shared" si="23"/>
        <v>684.28949386111117</v>
      </c>
      <c r="AD38" s="40">
        <f t="shared" si="12"/>
        <v>0</v>
      </c>
      <c r="AE38" s="40">
        <f t="shared" si="13"/>
        <v>311.0406790277778</v>
      </c>
      <c r="AF38" s="50">
        <f t="shared" si="20"/>
        <v>45.454545454545453</v>
      </c>
      <c r="AG38" s="51">
        <f t="shared" si="21"/>
        <v>0</v>
      </c>
      <c r="AH38" s="4"/>
    </row>
    <row r="39" spans="1:34" ht="12" customHeight="1" x14ac:dyDescent="0.25">
      <c r="A39" s="1" t="s">
        <v>181</v>
      </c>
      <c r="B39" s="11">
        <v>8</v>
      </c>
      <c r="C39" s="12" t="s">
        <v>83</v>
      </c>
      <c r="D39" s="12">
        <v>2</v>
      </c>
      <c r="E39" s="19">
        <v>84.54</v>
      </c>
      <c r="F39" s="14">
        <f t="shared" si="22"/>
        <v>224241.06170000002</v>
      </c>
      <c r="G39" s="15">
        <f t="shared" si="14"/>
        <v>3737.3510283333335</v>
      </c>
      <c r="H39" s="15">
        <f t="shared" si="15"/>
        <v>3363.6159255000002</v>
      </c>
      <c r="I39" s="15">
        <f t="shared" si="16"/>
        <v>1121.2053085000002</v>
      </c>
      <c r="J39" s="40">
        <f t="shared" si="17"/>
        <v>8222.1722623333335</v>
      </c>
      <c r="K39" s="40">
        <f t="shared" si="18"/>
        <v>685.18102186111116</v>
      </c>
      <c r="L39" s="15"/>
      <c r="M39" s="15">
        <f t="shared" si="19"/>
        <v>464.55273282183333</v>
      </c>
      <c r="N39" s="15">
        <f>+K39*N30</f>
        <v>479.62671530277777</v>
      </c>
      <c r="O39" s="15">
        <f>+N39*O30</f>
        <v>383.70137224222225</v>
      </c>
      <c r="P39" s="15">
        <f>+N39*P30</f>
        <v>431.66404377250001</v>
      </c>
      <c r="Q39" s="15">
        <f>+N39*Q30</f>
        <v>479.62671530277777</v>
      </c>
      <c r="R39" s="15"/>
      <c r="S39" s="15"/>
      <c r="T39" s="15"/>
      <c r="U39" s="15"/>
      <c r="V39" s="15"/>
      <c r="W39" s="15"/>
      <c r="X39" s="15"/>
      <c r="Y39" s="15">
        <v>0</v>
      </c>
      <c r="Z39" s="15"/>
      <c r="AA39" s="40"/>
      <c r="AB39" s="40"/>
      <c r="AC39" s="15">
        <f t="shared" si="23"/>
        <v>685.18102186111116</v>
      </c>
      <c r="AD39" s="15">
        <f t="shared" si="12"/>
        <v>0</v>
      </c>
      <c r="AE39" s="15">
        <f t="shared" si="13"/>
        <v>311.44591902777779</v>
      </c>
      <c r="AF39" s="50">
        <f t="shared" si="20"/>
        <v>45.454545454545453</v>
      </c>
      <c r="AG39" s="51">
        <f t="shared" si="21"/>
        <v>0</v>
      </c>
      <c r="AH39" s="4"/>
    </row>
    <row r="40" spans="1:34" ht="12" customHeight="1" x14ac:dyDescent="0.25">
      <c r="A40" s="1" t="s">
        <v>182</v>
      </c>
      <c r="B40" s="11">
        <v>9</v>
      </c>
      <c r="C40" s="12" t="s">
        <v>84</v>
      </c>
      <c r="D40" s="12">
        <v>2</v>
      </c>
      <c r="E40" s="19">
        <v>84.55</v>
      </c>
      <c r="F40" s="14">
        <f t="shared" si="22"/>
        <v>224267.5865</v>
      </c>
      <c r="G40" s="15">
        <f t="shared" si="14"/>
        <v>3737.7931083333333</v>
      </c>
      <c r="H40" s="15">
        <f t="shared" si="15"/>
        <v>3364.0137974999998</v>
      </c>
      <c r="I40" s="15">
        <f t="shared" si="16"/>
        <v>1121.3379325000001</v>
      </c>
      <c r="J40" s="40">
        <f t="shared" si="17"/>
        <v>8223.1448383333336</v>
      </c>
      <c r="K40" s="40">
        <f t="shared" si="18"/>
        <v>685.26206986111117</v>
      </c>
      <c r="L40" s="15"/>
      <c r="M40" s="15">
        <f t="shared" si="19"/>
        <v>464.60768336583334</v>
      </c>
      <c r="N40" s="15">
        <f>+K40*N30</f>
        <v>479.6834489027778</v>
      </c>
      <c r="O40" s="15">
        <f>+N40*O30</f>
        <v>383.74675912222227</v>
      </c>
      <c r="P40" s="15">
        <f>+N40*P30</f>
        <v>431.71510401250003</v>
      </c>
      <c r="Q40" s="15">
        <f>+N40*Q30</f>
        <v>479.6834489027778</v>
      </c>
      <c r="R40" s="15">
        <v>1038.77</v>
      </c>
      <c r="S40" s="15">
        <f>R40*S30</f>
        <v>103.87700000000001</v>
      </c>
      <c r="T40" s="15">
        <v>0</v>
      </c>
      <c r="U40" s="15">
        <v>0</v>
      </c>
      <c r="V40" s="15">
        <v>0</v>
      </c>
      <c r="W40" s="15">
        <f>O40</f>
        <v>383.74675912222227</v>
      </c>
      <c r="X40" s="15">
        <v>4605</v>
      </c>
      <c r="Y40" s="15">
        <v>0</v>
      </c>
      <c r="Z40" s="15">
        <v>5083.92</v>
      </c>
      <c r="AA40" s="40"/>
      <c r="AB40" s="40">
        <f>AA40/12</f>
        <v>0</v>
      </c>
      <c r="AC40" s="15">
        <f t="shared" si="23"/>
        <v>685.26206986111117</v>
      </c>
      <c r="AD40" s="15">
        <f t="shared" si="12"/>
        <v>0</v>
      </c>
      <c r="AE40" s="15">
        <f t="shared" si="13"/>
        <v>311.48275902777777</v>
      </c>
      <c r="AF40" s="50">
        <f t="shared" si="20"/>
        <v>45.454545454545446</v>
      </c>
      <c r="AG40" s="51">
        <f t="shared" si="21"/>
        <v>0</v>
      </c>
      <c r="AH40" s="4"/>
    </row>
    <row r="41" spans="1:34" x14ac:dyDescent="0.25">
      <c r="B41" s="8"/>
      <c r="C41" s="177" t="s">
        <v>77</v>
      </c>
      <c r="D41" s="177"/>
      <c r="E41" s="16">
        <f>SUM(E32:E40)</f>
        <v>729</v>
      </c>
      <c r="F41" s="16">
        <f>SUM(F32:F40)-0.01</f>
        <v>1933661.5525</v>
      </c>
      <c r="G41" s="16">
        <f>SUM(G32:G40)+0.01</f>
        <v>32227.702708333334</v>
      </c>
      <c r="H41" s="16">
        <f>SUM(H32:H40)-0.01</f>
        <v>29004.913437500007</v>
      </c>
      <c r="I41" s="16">
        <f>SUM(I32:I40)+0.01</f>
        <v>9668.3178125000013</v>
      </c>
      <c r="J41" s="16">
        <f>SUM(J32:J40)+0.01</f>
        <v>70900.933958333335</v>
      </c>
      <c r="K41" s="16">
        <f>SUM(K32:K40)</f>
        <v>5908.4103298611099</v>
      </c>
      <c r="L41" s="16"/>
      <c r="M41" s="16">
        <f>SUM(M32:M40)</f>
        <v>3080.9180288021671</v>
      </c>
      <c r="N41" s="16">
        <f>SUM(N32:N40)</f>
        <v>4131.2109571999999</v>
      </c>
      <c r="O41" s="16">
        <f>SUM(O32:O40)+0.01</f>
        <v>3304.97876576</v>
      </c>
      <c r="P41" s="16">
        <f>SUM(P32:P40)-0.01</f>
        <v>3718.0798614800001</v>
      </c>
      <c r="Q41" s="16">
        <f>SUM(Q32:Q40)</f>
        <v>4131.2109571999999</v>
      </c>
      <c r="R41" s="16"/>
      <c r="S41" s="16">
        <f>SUM(S32:S40)</f>
        <v>337.44900000000007</v>
      </c>
      <c r="T41" s="16">
        <f t="shared" ref="T41:W41" si="24">SUM(T32:T40)</f>
        <v>0</v>
      </c>
      <c r="U41" s="16">
        <f t="shared" si="24"/>
        <v>0</v>
      </c>
      <c r="V41" s="16">
        <f t="shared" si="24"/>
        <v>0</v>
      </c>
      <c r="W41" s="16">
        <f t="shared" si="24"/>
        <v>1133.9533710444446</v>
      </c>
      <c r="X41" s="16">
        <f t="shared" ref="X41:AG41" si="25">SUM(X32:X40)</f>
        <v>13607.52</v>
      </c>
      <c r="Y41" s="16">
        <f t="shared" si="25"/>
        <v>5044.8384000000005</v>
      </c>
      <c r="Z41" s="16">
        <f t="shared" si="25"/>
        <v>15092.4293504</v>
      </c>
      <c r="AA41" s="16">
        <f t="shared" si="25"/>
        <v>0</v>
      </c>
      <c r="AB41" s="16">
        <f t="shared" si="25"/>
        <v>0</v>
      </c>
      <c r="AC41" s="16">
        <f>SUM(AC32:AC40)</f>
        <v>5908.4103298611099</v>
      </c>
      <c r="AD41" s="16">
        <f t="shared" si="25"/>
        <v>233.58</v>
      </c>
      <c r="AE41" s="16">
        <f t="shared" si="25"/>
        <v>2685.6410590277778</v>
      </c>
      <c r="AF41" s="16">
        <f t="shared" si="25"/>
        <v>409.09090909090901</v>
      </c>
      <c r="AG41" s="16">
        <f t="shared" si="25"/>
        <v>106.17272727272727</v>
      </c>
      <c r="AH41" s="4"/>
    </row>
    <row r="42" spans="1:34" x14ac:dyDescent="0.25">
      <c r="B42" s="4"/>
      <c r="C42" s="21"/>
      <c r="D42" s="21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"/>
    </row>
    <row r="43" spans="1:34" x14ac:dyDescent="0.25">
      <c r="B43" s="4"/>
      <c r="C43" s="21"/>
      <c r="D43" s="21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4"/>
    </row>
    <row r="44" spans="1:34" x14ac:dyDescent="0.25">
      <c r="B44" s="4"/>
      <c r="C44" s="21"/>
      <c r="D44" s="21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4"/>
    </row>
    <row r="45" spans="1:34" x14ac:dyDescent="0.25">
      <c r="B45" s="4"/>
      <c r="C45" s="21"/>
      <c r="D45" s="21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4"/>
    </row>
    <row r="46" spans="1:34" x14ac:dyDescent="0.25">
      <c r="B46" s="4"/>
      <c r="C46" s="21"/>
      <c r="D46" s="21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4"/>
    </row>
    <row r="47" spans="1:34" x14ac:dyDescent="0.25">
      <c r="B47" s="4"/>
      <c r="C47" s="21"/>
      <c r="D47" s="21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4"/>
    </row>
    <row r="48" spans="1:34" x14ac:dyDescent="0.25">
      <c r="B48" s="4"/>
      <c r="C48" s="21"/>
      <c r="D48" s="21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4"/>
    </row>
    <row r="49" spans="1:34" x14ac:dyDescent="0.25">
      <c r="B49" s="4"/>
      <c r="C49" s="21"/>
      <c r="D49" s="21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4"/>
    </row>
    <row r="50" spans="1:34" x14ac:dyDescent="0.25">
      <c r="B50" s="4"/>
      <c r="C50" s="21"/>
      <c r="D50" s="21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4"/>
    </row>
    <row r="51" spans="1:34" ht="20.25" x14ac:dyDescent="0.25">
      <c r="B51" s="4"/>
      <c r="C51" s="181" t="s">
        <v>85</v>
      </c>
      <c r="D51" s="181"/>
      <c r="E51" s="181"/>
      <c r="F51" s="181"/>
      <c r="G51" s="18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B52" s="4"/>
      <c r="C52" s="21"/>
      <c r="D52" s="21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4"/>
    </row>
    <row r="53" spans="1:34" x14ac:dyDescent="0.25">
      <c r="B53" s="3"/>
      <c r="C53" s="4"/>
      <c r="D53" s="6" t="s">
        <v>42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3"/>
      <c r="AG53" s="4"/>
      <c r="AH53" s="4"/>
    </row>
    <row r="54" spans="1:34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04.1" customHeight="1" x14ac:dyDescent="0.25">
      <c r="B55" s="173" t="s">
        <v>1</v>
      </c>
      <c r="C55" s="175" t="s">
        <v>56</v>
      </c>
      <c r="D55" s="167" t="s">
        <v>3</v>
      </c>
      <c r="E55" s="167" t="s">
        <v>4</v>
      </c>
      <c r="F55" s="167" t="s">
        <v>5</v>
      </c>
      <c r="G55" s="167" t="s">
        <v>6</v>
      </c>
      <c r="H55" s="167" t="s">
        <v>7</v>
      </c>
      <c r="I55" s="167" t="s">
        <v>8</v>
      </c>
      <c r="J55" s="167" t="s">
        <v>9</v>
      </c>
      <c r="K55" s="167" t="s">
        <v>57</v>
      </c>
      <c r="L55" s="23" t="s">
        <v>10</v>
      </c>
      <c r="M55" s="23" t="s">
        <v>10</v>
      </c>
      <c r="N55" s="23" t="s">
        <v>12</v>
      </c>
      <c r="O55" s="169" t="s">
        <v>13</v>
      </c>
      <c r="P55" s="170"/>
      <c r="Q55" s="171"/>
      <c r="R55" s="167" t="s">
        <v>14</v>
      </c>
      <c r="S55" s="183" t="s">
        <v>58</v>
      </c>
      <c r="T55" s="184"/>
      <c r="U55" s="184"/>
      <c r="V55" s="185"/>
      <c r="W55" s="165" t="s">
        <v>21</v>
      </c>
      <c r="X55" s="167" t="s">
        <v>9</v>
      </c>
      <c r="Y55" s="23" t="s">
        <v>245</v>
      </c>
      <c r="Z55" s="23" t="s">
        <v>246</v>
      </c>
      <c r="AA55" s="23" t="s">
        <v>157</v>
      </c>
      <c r="AB55" s="165" t="s">
        <v>59</v>
      </c>
      <c r="AC55" s="186" t="s">
        <v>18</v>
      </c>
      <c r="AD55" s="187"/>
      <c r="AE55" s="187"/>
      <c r="AF55" s="187"/>
      <c r="AG55" s="163" t="s">
        <v>19</v>
      </c>
      <c r="AH55" s="4"/>
    </row>
    <row r="56" spans="1:34" ht="51" x14ac:dyDescent="0.25">
      <c r="B56" s="174"/>
      <c r="C56" s="176"/>
      <c r="D56" s="168"/>
      <c r="E56" s="168"/>
      <c r="F56" s="168"/>
      <c r="G56" s="168"/>
      <c r="H56" s="168"/>
      <c r="I56" s="168"/>
      <c r="J56" s="168"/>
      <c r="K56" s="168"/>
      <c r="L56" s="23">
        <v>5.6</v>
      </c>
      <c r="M56" s="23">
        <v>5.6</v>
      </c>
      <c r="N56" s="23">
        <v>0.7</v>
      </c>
      <c r="O56" s="24">
        <v>0.8</v>
      </c>
      <c r="P56" s="25">
        <v>0.9</v>
      </c>
      <c r="Q56" s="29">
        <v>1</v>
      </c>
      <c r="R56" s="168"/>
      <c r="S56" s="30">
        <v>0.1</v>
      </c>
      <c r="T56" s="31">
        <v>0.2</v>
      </c>
      <c r="U56" s="31">
        <v>0.3</v>
      </c>
      <c r="V56" s="31">
        <v>0.1</v>
      </c>
      <c r="W56" s="166"/>
      <c r="X56" s="168"/>
      <c r="Y56" s="23">
        <v>10.4</v>
      </c>
      <c r="Z56" s="23">
        <v>5.6</v>
      </c>
      <c r="AA56" s="23"/>
      <c r="AB56" s="166"/>
      <c r="AC56" s="34" t="s">
        <v>20</v>
      </c>
      <c r="AD56" s="34" t="s">
        <v>21</v>
      </c>
      <c r="AE56" s="34" t="s">
        <v>22</v>
      </c>
      <c r="AF56" s="34" t="s">
        <v>23</v>
      </c>
      <c r="AG56" s="164"/>
      <c r="AH56" s="4"/>
    </row>
    <row r="57" spans="1:34" x14ac:dyDescent="0.25">
      <c r="B57" s="8"/>
      <c r="C57" s="9"/>
      <c r="D57" s="10">
        <v>0</v>
      </c>
      <c r="E57" s="10">
        <v>1</v>
      </c>
      <c r="F57" s="10">
        <v>2</v>
      </c>
      <c r="G57" s="10" t="s">
        <v>24</v>
      </c>
      <c r="H57" s="10" t="s">
        <v>25</v>
      </c>
      <c r="I57" s="10" t="s">
        <v>26</v>
      </c>
      <c r="J57" s="10" t="s">
        <v>27</v>
      </c>
      <c r="K57" s="26" t="s">
        <v>60</v>
      </c>
      <c r="L57" s="10" t="s">
        <v>61</v>
      </c>
      <c r="M57" s="10" t="s">
        <v>61</v>
      </c>
      <c r="N57" s="10" t="s">
        <v>62</v>
      </c>
      <c r="O57" s="10" t="s">
        <v>63</v>
      </c>
      <c r="P57" s="10" t="s">
        <v>63</v>
      </c>
      <c r="Q57" s="10" t="s">
        <v>63</v>
      </c>
      <c r="R57" s="10">
        <v>9</v>
      </c>
      <c r="S57" s="32" t="s">
        <v>163</v>
      </c>
      <c r="T57" s="32" t="s">
        <v>164</v>
      </c>
      <c r="U57" s="32" t="s">
        <v>165</v>
      </c>
      <c r="V57" s="32" t="s">
        <v>166</v>
      </c>
      <c r="W57" s="32" t="s">
        <v>64</v>
      </c>
      <c r="X57" s="10" t="s">
        <v>65</v>
      </c>
      <c r="Y57" s="10" t="s">
        <v>66</v>
      </c>
      <c r="Z57" s="10" t="s">
        <v>67</v>
      </c>
      <c r="AA57" s="10" t="s">
        <v>158</v>
      </c>
      <c r="AB57" s="10" t="s">
        <v>243</v>
      </c>
      <c r="AC57" s="10">
        <v>16</v>
      </c>
      <c r="AD57" s="32" t="s">
        <v>159</v>
      </c>
      <c r="AE57" s="32" t="s">
        <v>160</v>
      </c>
      <c r="AF57" s="32" t="s">
        <v>161</v>
      </c>
      <c r="AG57" s="10">
        <v>17</v>
      </c>
      <c r="AH57" s="4"/>
    </row>
    <row r="58" spans="1:34" x14ac:dyDescent="0.25">
      <c r="A58" s="1" t="s">
        <v>183</v>
      </c>
      <c r="B58" s="131">
        <v>1</v>
      </c>
      <c r="C58" s="116" t="s">
        <v>86</v>
      </c>
      <c r="D58" s="38">
        <v>1</v>
      </c>
      <c r="E58" s="40">
        <v>74.47</v>
      </c>
      <c r="F58" s="120">
        <f>E58*1620.66</f>
        <v>120690.5502</v>
      </c>
      <c r="G58" s="120">
        <f>F58/60</f>
        <v>2011.50917</v>
      </c>
      <c r="H58" s="120">
        <f>F58*1.5%</f>
        <v>1810.3582529999999</v>
      </c>
      <c r="I58" s="120">
        <f>F58*0.5%</f>
        <v>603.45275100000003</v>
      </c>
      <c r="J58" s="120">
        <f>I58+H58+G58</f>
        <v>4425.3201740000004</v>
      </c>
      <c r="K58" s="120">
        <f>J58/12</f>
        <v>368.77668116666672</v>
      </c>
      <c r="L58" s="120"/>
      <c r="M58" s="120"/>
      <c r="N58" s="120">
        <f>K58*N56</f>
        <v>258.1436768166667</v>
      </c>
      <c r="O58" s="120">
        <f>N58*O56</f>
        <v>206.51494145333336</v>
      </c>
      <c r="P58" s="120">
        <f>N58*P56</f>
        <v>232.32930913500005</v>
      </c>
      <c r="Q58" s="120">
        <f>N58*Q56</f>
        <v>258.1436768166667</v>
      </c>
      <c r="R58" s="120">
        <v>1270.56</v>
      </c>
      <c r="S58" s="120">
        <f>R58*S56</f>
        <v>127.056</v>
      </c>
      <c r="T58" s="120">
        <v>0</v>
      </c>
      <c r="U58" s="120">
        <v>0</v>
      </c>
      <c r="V58" s="120">
        <v>0</v>
      </c>
      <c r="W58" s="120">
        <f>S58</f>
        <v>127.056</v>
      </c>
      <c r="X58" s="120">
        <v>1524.72</v>
      </c>
      <c r="Y58" s="120">
        <v>1683.29</v>
      </c>
      <c r="Z58" s="120">
        <v>1777.55</v>
      </c>
      <c r="AA58" s="120"/>
      <c r="AB58" s="120">
        <f>AA58/12</f>
        <v>0</v>
      </c>
      <c r="AC58" s="120">
        <f>K58</f>
        <v>368.77668116666672</v>
      </c>
      <c r="AD58" s="120">
        <f>AB58</f>
        <v>0</v>
      </c>
      <c r="AE58" s="120">
        <f>G58/12</f>
        <v>167.62576416666667</v>
      </c>
      <c r="AF58" s="120">
        <f>AE58/AC58*100</f>
        <v>45.454545454545446</v>
      </c>
      <c r="AG58" s="120">
        <f>AD58*AF58%</f>
        <v>0</v>
      </c>
      <c r="AH58" s="4"/>
    </row>
    <row r="59" spans="1:34" x14ac:dyDescent="0.25">
      <c r="A59" s="1" t="s">
        <v>181</v>
      </c>
      <c r="B59" s="37">
        <v>2</v>
      </c>
      <c r="C59" s="37" t="s">
        <v>88</v>
      </c>
      <c r="D59" s="38">
        <v>2</v>
      </c>
      <c r="E59" s="37">
        <v>75.56</v>
      </c>
      <c r="F59" s="39">
        <f>+E59*1620.66</f>
        <v>122457.06960000002</v>
      </c>
      <c r="G59" s="40">
        <f>+F59/60</f>
        <v>2040.9511600000003</v>
      </c>
      <c r="H59" s="40">
        <f>+F59*1.5%</f>
        <v>1836.8560440000001</v>
      </c>
      <c r="I59" s="40">
        <f>F59*0.5%</f>
        <v>612.28534800000011</v>
      </c>
      <c r="J59" s="40">
        <f>G59+H59+I59</f>
        <v>4490.092552000001</v>
      </c>
      <c r="K59" s="40">
        <f>+J59/12</f>
        <v>374.17437933333343</v>
      </c>
      <c r="L59" s="40"/>
      <c r="M59" s="40">
        <f>J59*(100%+5.6%)</f>
        <v>4741.5377349120008</v>
      </c>
      <c r="N59" s="40">
        <f>+K59*N56</f>
        <v>261.92206553333341</v>
      </c>
      <c r="O59" s="40">
        <f>+N59*O56</f>
        <v>209.53765242666674</v>
      </c>
      <c r="P59" s="40">
        <f>+N59*P56</f>
        <v>235.72985898000007</v>
      </c>
      <c r="Q59" s="40">
        <f>+N59*Q56</f>
        <v>261.92206553333341</v>
      </c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50"/>
      <c r="AG59" s="51"/>
      <c r="AH59" s="4"/>
    </row>
    <row r="60" spans="1:34" x14ac:dyDescent="0.25">
      <c r="A60" s="1" t="s">
        <v>184</v>
      </c>
      <c r="B60" s="131">
        <v>3</v>
      </c>
      <c r="C60" s="20" t="s">
        <v>89</v>
      </c>
      <c r="D60" s="12">
        <v>2</v>
      </c>
      <c r="E60" s="20">
        <v>82.34</v>
      </c>
      <c r="F60" s="14">
        <f t="shared" ref="F60:F66" si="26">+E60*1620.66</f>
        <v>133445.14440000002</v>
      </c>
      <c r="G60" s="15">
        <f t="shared" ref="G60:G66" si="27">+F60/60</f>
        <v>2224.0857400000004</v>
      </c>
      <c r="H60" s="15">
        <f t="shared" ref="H60:H66" si="28">+F60*1.5%</f>
        <v>2001.6771660000002</v>
      </c>
      <c r="I60" s="15">
        <f t="shared" ref="I60:I66" si="29">F60*0.5%</f>
        <v>667.22572200000013</v>
      </c>
      <c r="J60" s="15">
        <v>4893</v>
      </c>
      <c r="K60" s="15">
        <f t="shared" ref="K60:K66" si="30">+J60/12</f>
        <v>407.75</v>
      </c>
      <c r="L60" s="15"/>
      <c r="M60" s="15">
        <f t="shared" ref="M60:M66" si="31">J60*(100%+5.6%)</f>
        <v>5167.0079999999998</v>
      </c>
      <c r="N60" s="15">
        <f>+K60*N56</f>
        <v>285.42499999999995</v>
      </c>
      <c r="O60" s="15">
        <f>+N60*O56</f>
        <v>228.33999999999997</v>
      </c>
      <c r="P60" s="15">
        <f>+N60*P56</f>
        <v>256.88249999999999</v>
      </c>
      <c r="Q60" s="15">
        <f>+N60*Q56</f>
        <v>285.42499999999995</v>
      </c>
      <c r="R60" s="15"/>
      <c r="S60" s="15"/>
      <c r="T60" s="15"/>
      <c r="U60" s="15"/>
      <c r="V60" s="15"/>
      <c r="W60" s="15"/>
      <c r="X60" s="15"/>
      <c r="Y60" s="15"/>
      <c r="Z60" s="15"/>
      <c r="AA60" s="40"/>
      <c r="AB60" s="40"/>
      <c r="AC60" s="15"/>
      <c r="AD60" s="15"/>
      <c r="AE60" s="15"/>
      <c r="AF60" s="35"/>
      <c r="AG60" s="36"/>
      <c r="AH60" s="4"/>
    </row>
    <row r="61" spans="1:34" x14ac:dyDescent="0.25">
      <c r="A61" s="1" t="s">
        <v>185</v>
      </c>
      <c r="B61" s="37">
        <v>4</v>
      </c>
      <c r="C61" s="20" t="s">
        <v>90</v>
      </c>
      <c r="D61" s="12">
        <v>2</v>
      </c>
      <c r="E61" s="20">
        <v>83.13</v>
      </c>
      <c r="F61" s="14">
        <f t="shared" si="26"/>
        <v>134725.46580000001</v>
      </c>
      <c r="G61" s="15">
        <f t="shared" si="27"/>
        <v>2245.42443</v>
      </c>
      <c r="H61" s="15">
        <f t="shared" si="28"/>
        <v>2020.881987</v>
      </c>
      <c r="I61" s="15">
        <f t="shared" si="29"/>
        <v>673.62732900000003</v>
      </c>
      <c r="J61" s="15">
        <f t="shared" ref="J61:J66" si="32">G61+H61+I61</f>
        <v>4939.9337459999997</v>
      </c>
      <c r="K61" s="15">
        <f t="shared" si="30"/>
        <v>411.66114549999998</v>
      </c>
      <c r="L61" s="15"/>
      <c r="M61" s="15">
        <f t="shared" si="31"/>
        <v>5216.5700357759997</v>
      </c>
      <c r="N61" s="15">
        <f>+K61*N56</f>
        <v>288.16280184999994</v>
      </c>
      <c r="O61" s="15">
        <f>+N61*O56</f>
        <v>230.53024147999997</v>
      </c>
      <c r="P61" s="15">
        <f>+N61*P56</f>
        <v>259.34652166499995</v>
      </c>
      <c r="Q61" s="15">
        <f>+N61*Q56</f>
        <v>288.16280184999994</v>
      </c>
      <c r="R61" s="15">
        <v>1473.22</v>
      </c>
      <c r="S61" s="15">
        <f>R61*S56</f>
        <v>147.322</v>
      </c>
      <c r="T61" s="15">
        <v>0</v>
      </c>
      <c r="U61" s="15">
        <v>0</v>
      </c>
      <c r="V61" s="15">
        <v>0</v>
      </c>
      <c r="W61" s="15">
        <f>S61</f>
        <v>147.322</v>
      </c>
      <c r="X61" s="15">
        <v>1767.84</v>
      </c>
      <c r="Y61" s="15">
        <v>1951.7</v>
      </c>
      <c r="Z61" s="15">
        <v>2061</v>
      </c>
      <c r="AA61" s="40"/>
      <c r="AB61" s="40">
        <f>AA61/12</f>
        <v>0</v>
      </c>
      <c r="AC61" s="15">
        <f>K61</f>
        <v>411.66114549999998</v>
      </c>
      <c r="AD61" s="15">
        <f>AB61</f>
        <v>0</v>
      </c>
      <c r="AE61" s="15">
        <f>G61/12</f>
        <v>187.11870250000001</v>
      </c>
      <c r="AF61" s="35">
        <f>AE61/AC61*100</f>
        <v>45.45454545454546</v>
      </c>
      <c r="AG61" s="36">
        <f>AD61*AF61%</f>
        <v>0</v>
      </c>
      <c r="AH61" s="4"/>
    </row>
    <row r="62" spans="1:34" x14ac:dyDescent="0.25">
      <c r="A62" s="1" t="s">
        <v>186</v>
      </c>
      <c r="B62" s="131">
        <v>5</v>
      </c>
      <c r="C62" s="20" t="s">
        <v>91</v>
      </c>
      <c r="D62" s="12">
        <v>2</v>
      </c>
      <c r="E62" s="15">
        <v>81.680000000000007</v>
      </c>
      <c r="F62" s="14">
        <f t="shared" si="26"/>
        <v>132375.50880000001</v>
      </c>
      <c r="G62" s="15">
        <f t="shared" si="27"/>
        <v>2206.25848</v>
      </c>
      <c r="H62" s="15">
        <f t="shared" si="28"/>
        <v>1985.6326320000001</v>
      </c>
      <c r="I62" s="15">
        <f t="shared" si="29"/>
        <v>661.87754400000006</v>
      </c>
      <c r="J62" s="15">
        <f t="shared" si="32"/>
        <v>4853.7686560000002</v>
      </c>
      <c r="K62" s="15">
        <f t="shared" si="30"/>
        <v>404.48072133333335</v>
      </c>
      <c r="L62" s="15"/>
      <c r="M62" s="15">
        <f t="shared" si="31"/>
        <v>5125.5797007360006</v>
      </c>
      <c r="N62" s="15">
        <f>+K62*N56</f>
        <v>283.1365049333333</v>
      </c>
      <c r="O62" s="15">
        <f>+N62*O56</f>
        <v>226.50920394666664</v>
      </c>
      <c r="P62" s="15">
        <v>254.83</v>
      </c>
      <c r="Q62" s="15">
        <f>+N62*Q56</f>
        <v>283.1365049333333</v>
      </c>
      <c r="R62" s="15">
        <v>2509.36</v>
      </c>
      <c r="S62" s="15">
        <f>R62*S56</f>
        <v>250.93600000000004</v>
      </c>
      <c r="T62" s="15">
        <v>0</v>
      </c>
      <c r="U62" s="15">
        <v>0</v>
      </c>
      <c r="V62" s="15">
        <v>0</v>
      </c>
      <c r="W62" s="15">
        <f>S62</f>
        <v>250.93600000000004</v>
      </c>
      <c r="X62" s="15">
        <v>3011.28</v>
      </c>
      <c r="Y62" s="15">
        <v>3324.45</v>
      </c>
      <c r="Z62" s="15">
        <v>3510.62</v>
      </c>
      <c r="AA62" s="40"/>
      <c r="AB62" s="40">
        <f>AA62/12</f>
        <v>0</v>
      </c>
      <c r="AC62" s="15">
        <f>K62</f>
        <v>404.48072133333335</v>
      </c>
      <c r="AD62" s="15">
        <f>AB62</f>
        <v>0</v>
      </c>
      <c r="AE62" s="15">
        <f>G62/12</f>
        <v>183.85487333333333</v>
      </c>
      <c r="AF62" s="35">
        <f>AE62/AC62*100</f>
        <v>45.454545454545453</v>
      </c>
      <c r="AG62" s="36">
        <f>AD62*AF62%</f>
        <v>0</v>
      </c>
      <c r="AH62" s="4"/>
    </row>
    <row r="63" spans="1:34" x14ac:dyDescent="0.25">
      <c r="A63" s="1" t="s">
        <v>187</v>
      </c>
      <c r="B63" s="37">
        <v>6</v>
      </c>
      <c r="C63" s="20" t="s">
        <v>92</v>
      </c>
      <c r="D63" s="12">
        <v>2</v>
      </c>
      <c r="E63" s="15">
        <v>80.900000000000006</v>
      </c>
      <c r="F63" s="14">
        <f t="shared" si="26"/>
        <v>131111.39400000003</v>
      </c>
      <c r="G63" s="15">
        <f t="shared" si="27"/>
        <v>2185.1899000000003</v>
      </c>
      <c r="H63" s="15">
        <f t="shared" si="28"/>
        <v>1966.6709100000003</v>
      </c>
      <c r="I63" s="15">
        <f t="shared" si="29"/>
        <v>655.55697000000021</v>
      </c>
      <c r="J63" s="15">
        <f t="shared" si="32"/>
        <v>4807.4177800000007</v>
      </c>
      <c r="K63" s="15">
        <f t="shared" si="30"/>
        <v>400.61814833333341</v>
      </c>
      <c r="L63" s="15"/>
      <c r="M63" s="15">
        <f t="shared" si="31"/>
        <v>5076.6331756800009</v>
      </c>
      <c r="N63" s="15">
        <f>+K63*N56</f>
        <v>280.43270383333339</v>
      </c>
      <c r="O63" s="15">
        <v>224.34</v>
      </c>
      <c r="P63" s="15">
        <f>+N63*P56</f>
        <v>252.38943345000007</v>
      </c>
      <c r="Q63" s="15">
        <f>+N63*Q56</f>
        <v>280.43270383333339</v>
      </c>
      <c r="R63" s="15"/>
      <c r="S63" s="15"/>
      <c r="T63" s="15"/>
      <c r="U63" s="15"/>
      <c r="V63" s="15"/>
      <c r="W63" s="15"/>
      <c r="X63" s="15"/>
      <c r="Y63" s="15"/>
      <c r="Z63" s="15"/>
      <c r="AA63" s="40"/>
      <c r="AB63" s="40"/>
      <c r="AC63" s="15"/>
      <c r="AD63" s="15"/>
      <c r="AE63" s="15"/>
      <c r="AF63" s="35"/>
      <c r="AG63" s="36"/>
      <c r="AH63" s="4"/>
    </row>
    <row r="64" spans="1:34" x14ac:dyDescent="0.25">
      <c r="A64" s="1" t="s">
        <v>188</v>
      </c>
      <c r="B64" s="131">
        <v>7</v>
      </c>
      <c r="C64" s="20" t="s">
        <v>93</v>
      </c>
      <c r="D64" s="12">
        <v>2</v>
      </c>
      <c r="E64" s="20">
        <v>82.34</v>
      </c>
      <c r="F64" s="14">
        <f t="shared" si="26"/>
        <v>133445.14440000002</v>
      </c>
      <c r="G64" s="15">
        <f t="shared" si="27"/>
        <v>2224.0857400000004</v>
      </c>
      <c r="H64" s="15">
        <f t="shared" si="28"/>
        <v>2001.6771660000002</v>
      </c>
      <c r="I64" s="15">
        <f t="shared" si="29"/>
        <v>667.22572200000013</v>
      </c>
      <c r="J64" s="15">
        <v>4893</v>
      </c>
      <c r="K64" s="15">
        <f t="shared" si="30"/>
        <v>407.75</v>
      </c>
      <c r="L64" s="15"/>
      <c r="M64" s="15">
        <f t="shared" si="31"/>
        <v>5167.0079999999998</v>
      </c>
      <c r="N64" s="15">
        <f>+K64*N56</f>
        <v>285.42499999999995</v>
      </c>
      <c r="O64" s="15">
        <f>+N64*O56</f>
        <v>228.33999999999997</v>
      </c>
      <c r="P64" s="15">
        <v>256.89</v>
      </c>
      <c r="Q64" s="15">
        <f>+N64*Q56</f>
        <v>285.42499999999995</v>
      </c>
      <c r="R64" s="15"/>
      <c r="S64" s="15"/>
      <c r="T64" s="15"/>
      <c r="U64" s="15"/>
      <c r="V64" s="15"/>
      <c r="W64" s="15"/>
      <c r="X64" s="15"/>
      <c r="Y64" s="15"/>
      <c r="Z64" s="15"/>
      <c r="AA64" s="40"/>
      <c r="AB64" s="40"/>
      <c r="AC64" s="15"/>
      <c r="AD64" s="15"/>
      <c r="AE64" s="15"/>
      <c r="AF64" s="35"/>
      <c r="AG64" s="36"/>
      <c r="AH64" s="4"/>
    </row>
    <row r="65" spans="1:34" x14ac:dyDescent="0.25">
      <c r="A65" s="1" t="s">
        <v>189</v>
      </c>
      <c r="B65" s="37">
        <v>8</v>
      </c>
      <c r="C65" s="116" t="s">
        <v>87</v>
      </c>
      <c r="D65" s="38">
        <v>1</v>
      </c>
      <c r="E65" s="40">
        <v>83.13</v>
      </c>
      <c r="F65" s="39">
        <f>E65*1620.66</f>
        <v>134725.46580000001</v>
      </c>
      <c r="G65" s="40">
        <f t="shared" si="27"/>
        <v>2245.42443</v>
      </c>
      <c r="H65" s="40">
        <f t="shared" si="28"/>
        <v>2020.881987</v>
      </c>
      <c r="I65" s="40">
        <f t="shared" si="29"/>
        <v>673.62732900000003</v>
      </c>
      <c r="J65" s="40">
        <f>I65+H65+G65</f>
        <v>4939.9337460000006</v>
      </c>
      <c r="K65" s="40">
        <f>J65/12</f>
        <v>411.66114550000003</v>
      </c>
      <c r="L65" s="40"/>
      <c r="M65" s="40"/>
      <c r="N65" s="40">
        <f>K65*N56</f>
        <v>288.16280184999999</v>
      </c>
      <c r="O65" s="40">
        <f>N65*O56</f>
        <v>230.53024148</v>
      </c>
      <c r="P65" s="40">
        <f>N65*P56</f>
        <v>259.34652166500001</v>
      </c>
      <c r="Q65" s="40">
        <f>N65*Q56</f>
        <v>288.16280184999999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50"/>
      <c r="AG65" s="51"/>
      <c r="AH65" s="4"/>
    </row>
    <row r="66" spans="1:34" x14ac:dyDescent="0.25">
      <c r="A66" s="1" t="s">
        <v>190</v>
      </c>
      <c r="B66" s="131">
        <v>9</v>
      </c>
      <c r="C66" s="20" t="s">
        <v>94</v>
      </c>
      <c r="D66" s="12">
        <v>2</v>
      </c>
      <c r="E66" s="20">
        <v>81.680000000000007</v>
      </c>
      <c r="F66" s="14">
        <f t="shared" si="26"/>
        <v>132375.50880000001</v>
      </c>
      <c r="G66" s="15">
        <f t="shared" si="27"/>
        <v>2206.25848</v>
      </c>
      <c r="H66" s="15">
        <f t="shared" si="28"/>
        <v>1985.6326320000001</v>
      </c>
      <c r="I66" s="15">
        <f t="shared" si="29"/>
        <v>661.87754400000006</v>
      </c>
      <c r="J66" s="15">
        <f t="shared" si="32"/>
        <v>4853.7686560000002</v>
      </c>
      <c r="K66" s="15">
        <f t="shared" si="30"/>
        <v>404.48072133333335</v>
      </c>
      <c r="L66" s="15"/>
      <c r="M66" s="15">
        <f t="shared" si="31"/>
        <v>5125.5797007360006</v>
      </c>
      <c r="N66" s="15">
        <f>+K66*N56</f>
        <v>283.1365049333333</v>
      </c>
      <c r="O66" s="15">
        <f>+N66*O56</f>
        <v>226.50920394666664</v>
      </c>
      <c r="P66" s="15">
        <v>254.83</v>
      </c>
      <c r="Q66" s="15">
        <f>+N66*Q56</f>
        <v>283.1365049333333</v>
      </c>
      <c r="R66" s="15"/>
      <c r="S66" s="15"/>
      <c r="T66" s="15"/>
      <c r="U66" s="15"/>
      <c r="V66" s="15"/>
      <c r="W66" s="15"/>
      <c r="X66" s="15"/>
      <c r="Y66" s="15"/>
      <c r="Z66" s="15"/>
      <c r="AA66" s="40"/>
      <c r="AB66" s="40"/>
      <c r="AC66" s="15"/>
      <c r="AD66" s="15"/>
      <c r="AE66" s="15"/>
      <c r="AF66" s="35"/>
      <c r="AG66" s="36"/>
      <c r="AH66" s="4"/>
    </row>
    <row r="67" spans="1:34" x14ac:dyDescent="0.25">
      <c r="B67" s="8"/>
      <c r="C67" s="188" t="s">
        <v>77</v>
      </c>
      <c r="D67" s="188"/>
      <c r="E67" s="41">
        <f t="shared" ref="E67:J67" si="33">SUM(E59:E66)</f>
        <v>650.76</v>
      </c>
      <c r="F67" s="41">
        <f>SUM(F59:F66)-0.01</f>
        <v>1054660.6916</v>
      </c>
      <c r="G67" s="41">
        <f>SUM(G59:G66)+0.01</f>
        <v>17577.68836</v>
      </c>
      <c r="H67" s="41">
        <f t="shared" si="33"/>
        <v>15819.910524000001</v>
      </c>
      <c r="I67" s="41">
        <f>SUM(I59:I66)+0.02</f>
        <v>5273.3235080000013</v>
      </c>
      <c r="J67" s="41">
        <f t="shared" si="33"/>
        <v>38670.915136000003</v>
      </c>
      <c r="K67" s="41">
        <f>SUM(K59:K66)-0.01</f>
        <v>3222.5662613333334</v>
      </c>
      <c r="L67" s="41"/>
      <c r="M67" s="41">
        <f>SUM(M59:M66)</f>
        <v>35619.916347840008</v>
      </c>
      <c r="N67" s="41">
        <f>SUM(N59:N66)+0.01</f>
        <v>2255.8133829333337</v>
      </c>
      <c r="O67" s="41">
        <f t="shared" ref="O67:P67" si="34">SUM(O59:O66)</f>
        <v>1804.6365432800001</v>
      </c>
      <c r="P67" s="41">
        <f t="shared" si="34"/>
        <v>2030.2448357599999</v>
      </c>
      <c r="Q67" s="41">
        <f>SUM(Q59:Q66)+0.01</f>
        <v>2255.8133829333337</v>
      </c>
      <c r="R67" s="41"/>
      <c r="S67" s="41">
        <f>SUM(S58:S66)</f>
        <v>525.31400000000008</v>
      </c>
      <c r="T67" s="41">
        <f t="shared" ref="T67:W67" si="35">SUM(T58:T66)</f>
        <v>0</v>
      </c>
      <c r="U67" s="41">
        <f t="shared" si="35"/>
        <v>0</v>
      </c>
      <c r="V67" s="41">
        <f t="shared" si="35"/>
        <v>0</v>
      </c>
      <c r="W67" s="41">
        <f t="shared" si="35"/>
        <v>525.31400000000008</v>
      </c>
      <c r="X67" s="41">
        <f t="shared" ref="X67:AG67" si="36">SUM(X58:X66)</f>
        <v>6303.84</v>
      </c>
      <c r="Y67" s="41">
        <f t="shared" si="36"/>
        <v>6959.44</v>
      </c>
      <c r="Z67" s="41">
        <f t="shared" si="36"/>
        <v>7349.17</v>
      </c>
      <c r="AA67" s="41">
        <f t="shared" si="36"/>
        <v>0</v>
      </c>
      <c r="AB67" s="41">
        <f t="shared" si="36"/>
        <v>0</v>
      </c>
      <c r="AC67" s="41">
        <f t="shared" si="36"/>
        <v>1184.9185480000001</v>
      </c>
      <c r="AD67" s="41">
        <f t="shared" si="36"/>
        <v>0</v>
      </c>
      <c r="AE67" s="41">
        <f t="shared" si="36"/>
        <v>538.59933999999998</v>
      </c>
      <c r="AF67" s="41">
        <f t="shared" si="36"/>
        <v>136.36363636363637</v>
      </c>
      <c r="AG67" s="41">
        <f t="shared" si="36"/>
        <v>0</v>
      </c>
      <c r="AH67" s="4"/>
    </row>
    <row r="68" spans="1:34" ht="20.25" x14ac:dyDescent="0.25">
      <c r="B68" s="4"/>
      <c r="C68" s="181" t="s">
        <v>95</v>
      </c>
      <c r="D68" s="181"/>
      <c r="E68" s="181"/>
      <c r="F68" s="181"/>
      <c r="G68" s="181"/>
      <c r="H68" s="3"/>
      <c r="I68" s="4"/>
      <c r="J68" s="4"/>
      <c r="K68" s="3"/>
      <c r="L68" s="3"/>
      <c r="M68" s="3"/>
      <c r="N68" s="3"/>
      <c r="O68" s="4"/>
      <c r="P68" s="3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3"/>
      <c r="AF68" s="3"/>
      <c r="AG68" s="4"/>
      <c r="AH68" s="4"/>
    </row>
    <row r="69" spans="1:3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3"/>
      <c r="X69" s="4"/>
      <c r="Y69" s="4"/>
      <c r="Z69" s="4"/>
      <c r="AA69" s="4"/>
      <c r="AB69" s="4"/>
      <c r="AC69" s="4"/>
      <c r="AD69" s="4"/>
      <c r="AE69" s="4"/>
      <c r="AF69" s="4"/>
      <c r="AG69" s="3"/>
      <c r="AH69" s="4"/>
    </row>
    <row r="70" spans="1:34" x14ac:dyDescent="0.25">
      <c r="B70" s="4"/>
      <c r="C70" s="4"/>
      <c r="D70" s="6" t="s">
        <v>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11" customHeight="1" x14ac:dyDescent="0.25">
      <c r="B72" s="173" t="s">
        <v>1</v>
      </c>
      <c r="C72" s="175" t="s">
        <v>56</v>
      </c>
      <c r="D72" s="167" t="s">
        <v>3</v>
      </c>
      <c r="E72" s="167" t="s">
        <v>4</v>
      </c>
      <c r="F72" s="167" t="s">
        <v>5</v>
      </c>
      <c r="G72" s="167" t="s">
        <v>6</v>
      </c>
      <c r="H72" s="167" t="s">
        <v>7</v>
      </c>
      <c r="I72" s="167" t="s">
        <v>8</v>
      </c>
      <c r="J72" s="167" t="s">
        <v>9</v>
      </c>
      <c r="K72" s="167" t="s">
        <v>57</v>
      </c>
      <c r="L72" s="23" t="s">
        <v>10</v>
      </c>
      <c r="M72" s="23" t="s">
        <v>10</v>
      </c>
      <c r="N72" s="23" t="s">
        <v>12</v>
      </c>
      <c r="O72" s="169" t="s">
        <v>13</v>
      </c>
      <c r="P72" s="170"/>
      <c r="Q72" s="171"/>
      <c r="R72" s="167" t="s">
        <v>14</v>
      </c>
      <c r="S72" s="183" t="s">
        <v>58</v>
      </c>
      <c r="T72" s="184"/>
      <c r="U72" s="184"/>
      <c r="V72" s="185"/>
      <c r="W72" s="165" t="s">
        <v>21</v>
      </c>
      <c r="X72" s="167" t="s">
        <v>9</v>
      </c>
      <c r="Y72" s="23" t="s">
        <v>245</v>
      </c>
      <c r="Z72" s="23" t="s">
        <v>246</v>
      </c>
      <c r="AA72" s="23" t="s">
        <v>157</v>
      </c>
      <c r="AB72" s="165" t="s">
        <v>59</v>
      </c>
      <c r="AC72" s="186" t="s">
        <v>18</v>
      </c>
      <c r="AD72" s="187"/>
      <c r="AE72" s="187"/>
      <c r="AF72" s="187"/>
      <c r="AG72" s="163" t="s">
        <v>19</v>
      </c>
      <c r="AH72" s="4"/>
    </row>
    <row r="73" spans="1:34" ht="51" x14ac:dyDescent="0.25">
      <c r="B73" s="174"/>
      <c r="C73" s="176"/>
      <c r="D73" s="168"/>
      <c r="E73" s="168"/>
      <c r="F73" s="168"/>
      <c r="G73" s="168"/>
      <c r="H73" s="168"/>
      <c r="I73" s="168"/>
      <c r="J73" s="168"/>
      <c r="K73" s="168"/>
      <c r="L73" s="23">
        <v>5.6</v>
      </c>
      <c r="M73" s="23">
        <v>5.6</v>
      </c>
      <c r="N73" s="23">
        <v>0.7</v>
      </c>
      <c r="O73" s="24">
        <v>0.8</v>
      </c>
      <c r="P73" s="25">
        <v>0.9</v>
      </c>
      <c r="Q73" s="29">
        <v>1</v>
      </c>
      <c r="R73" s="168"/>
      <c r="S73" s="30">
        <v>0.1</v>
      </c>
      <c r="T73" s="31">
        <v>0.2</v>
      </c>
      <c r="U73" s="31">
        <v>0.3</v>
      </c>
      <c r="V73" s="31">
        <v>0.1</v>
      </c>
      <c r="W73" s="166"/>
      <c r="X73" s="168"/>
      <c r="Y73" s="23">
        <v>10.4</v>
      </c>
      <c r="Z73" s="23">
        <v>5.6</v>
      </c>
      <c r="AA73" s="23"/>
      <c r="AB73" s="166"/>
      <c r="AC73" s="34" t="s">
        <v>20</v>
      </c>
      <c r="AD73" s="34" t="s">
        <v>21</v>
      </c>
      <c r="AE73" s="34" t="s">
        <v>22</v>
      </c>
      <c r="AF73" s="34" t="s">
        <v>23</v>
      </c>
      <c r="AG73" s="164"/>
      <c r="AH73" s="4"/>
    </row>
    <row r="74" spans="1:34" x14ac:dyDescent="0.25">
      <c r="B74" s="8"/>
      <c r="C74" s="9"/>
      <c r="D74" s="10">
        <v>0</v>
      </c>
      <c r="E74" s="10">
        <v>1</v>
      </c>
      <c r="F74" s="10">
        <v>2</v>
      </c>
      <c r="G74" s="10" t="s">
        <v>24</v>
      </c>
      <c r="H74" s="10" t="s">
        <v>25</v>
      </c>
      <c r="I74" s="10" t="s">
        <v>26</v>
      </c>
      <c r="J74" s="10" t="s">
        <v>27</v>
      </c>
      <c r="K74" s="26" t="s">
        <v>60</v>
      </c>
      <c r="L74" s="10" t="s">
        <v>61</v>
      </c>
      <c r="M74" s="10" t="s">
        <v>61</v>
      </c>
      <c r="N74" s="10" t="s">
        <v>62</v>
      </c>
      <c r="O74" s="10" t="s">
        <v>63</v>
      </c>
      <c r="P74" s="10" t="s">
        <v>63</v>
      </c>
      <c r="Q74" s="10" t="s">
        <v>63</v>
      </c>
      <c r="R74" s="10">
        <v>9</v>
      </c>
      <c r="S74" s="32" t="s">
        <v>163</v>
      </c>
      <c r="T74" s="32" t="s">
        <v>164</v>
      </c>
      <c r="U74" s="32" t="s">
        <v>165</v>
      </c>
      <c r="V74" s="32" t="s">
        <v>166</v>
      </c>
      <c r="W74" s="32" t="s">
        <v>64</v>
      </c>
      <c r="X74" s="10" t="s">
        <v>65</v>
      </c>
      <c r="Y74" s="10" t="s">
        <v>66</v>
      </c>
      <c r="Z74" s="10" t="s">
        <v>67</v>
      </c>
      <c r="AA74" s="10" t="s">
        <v>158</v>
      </c>
      <c r="AB74" s="10" t="s">
        <v>243</v>
      </c>
      <c r="AC74" s="10">
        <v>16</v>
      </c>
      <c r="AD74" s="32" t="s">
        <v>159</v>
      </c>
      <c r="AE74" s="32" t="s">
        <v>160</v>
      </c>
      <c r="AF74" s="32" t="s">
        <v>161</v>
      </c>
      <c r="AG74" s="10">
        <v>17</v>
      </c>
      <c r="AH74" s="55"/>
    </row>
    <row r="75" spans="1:34" x14ac:dyDescent="0.25">
      <c r="A75" s="1" t="s">
        <v>192</v>
      </c>
      <c r="B75" s="11">
        <v>1</v>
      </c>
      <c r="C75" s="20" t="s">
        <v>96</v>
      </c>
      <c r="D75" s="12">
        <v>1</v>
      </c>
      <c r="E75" s="15">
        <v>53.81</v>
      </c>
      <c r="F75" s="15">
        <f>+E75*1620.66</f>
        <v>87207.714600000007</v>
      </c>
      <c r="G75" s="15">
        <f>+F75/60</f>
        <v>1453.4619100000002</v>
      </c>
      <c r="H75" s="15">
        <f>+F75*1.5%</f>
        <v>1308.1157190000001</v>
      </c>
      <c r="I75" s="15">
        <v>0</v>
      </c>
      <c r="J75" s="15">
        <f>+G75+H75+I75</f>
        <v>2761.5776290000003</v>
      </c>
      <c r="K75" s="15">
        <f>+J75/12</f>
        <v>230.13146908333337</v>
      </c>
      <c r="L75" s="15"/>
      <c r="M75" s="15">
        <f>+J75*(100%+5.6%)</f>
        <v>2916.2259762240005</v>
      </c>
      <c r="N75" s="15">
        <f>+K75*N73</f>
        <v>161.09202835833335</v>
      </c>
      <c r="O75" s="15">
        <f>+N75*O73</f>
        <v>128.87362268666669</v>
      </c>
      <c r="P75" s="15">
        <f>+N75*P73</f>
        <v>144.98282552250001</v>
      </c>
      <c r="Q75" s="15">
        <f>+N75*Q73</f>
        <v>161.09202835833335</v>
      </c>
      <c r="R75" s="15"/>
      <c r="S75" s="15"/>
      <c r="T75" s="15"/>
      <c r="U75" s="15"/>
      <c r="V75" s="15"/>
      <c r="W75" s="15"/>
      <c r="X75" s="15"/>
      <c r="Y75" s="15"/>
      <c r="Z75" s="15"/>
      <c r="AA75" s="40"/>
      <c r="AB75" s="40"/>
      <c r="AC75" s="15"/>
      <c r="AD75" s="15"/>
      <c r="AE75" s="15"/>
      <c r="AF75" s="15"/>
      <c r="AG75" s="36"/>
      <c r="AH75" s="55"/>
    </row>
    <row r="76" spans="1:34" x14ac:dyDescent="0.25">
      <c r="A76" s="1" t="s">
        <v>193</v>
      </c>
      <c r="B76" s="11">
        <v>2</v>
      </c>
      <c r="C76" s="20" t="s">
        <v>93</v>
      </c>
      <c r="D76" s="12">
        <v>1</v>
      </c>
      <c r="E76" s="15">
        <v>60.83</v>
      </c>
      <c r="F76" s="15">
        <f>+E76*1620.66</f>
        <v>98584.747799999997</v>
      </c>
      <c r="G76" s="15">
        <f>+F76/60</f>
        <v>1643.0791299999999</v>
      </c>
      <c r="H76" s="15">
        <f>+F76*1.5%</f>
        <v>1478.771217</v>
      </c>
      <c r="I76" s="15">
        <v>0</v>
      </c>
      <c r="J76" s="15">
        <f>+G76+H76+I76</f>
        <v>3121.8503469999996</v>
      </c>
      <c r="K76" s="15">
        <f>+J76/12</f>
        <v>260.15419558333332</v>
      </c>
      <c r="L76" s="15"/>
      <c r="M76" s="15">
        <f>+J76*(100%+5.6%)</f>
        <v>3296.6739664319998</v>
      </c>
      <c r="N76" s="15">
        <f>+K76*N73</f>
        <v>182.1079369083333</v>
      </c>
      <c r="O76" s="15">
        <f>+N76*O73</f>
        <v>145.68634952666665</v>
      </c>
      <c r="P76" s="15">
        <f>+N76*P73</f>
        <v>163.89714321749997</v>
      </c>
      <c r="Q76" s="15">
        <f>+N76*Q73</f>
        <v>182.1079369083333</v>
      </c>
      <c r="R76" s="15"/>
      <c r="S76" s="15"/>
      <c r="T76" s="15"/>
      <c r="U76" s="15"/>
      <c r="V76" s="15"/>
      <c r="W76" s="15"/>
      <c r="X76" s="15"/>
      <c r="Y76" s="15"/>
      <c r="Z76" s="15"/>
      <c r="AA76" s="40"/>
      <c r="AB76" s="40"/>
      <c r="AC76" s="15"/>
      <c r="AD76" s="15"/>
      <c r="AE76" s="15"/>
      <c r="AF76" s="15"/>
      <c r="AG76" s="36"/>
      <c r="AH76" s="55"/>
    </row>
    <row r="77" spans="1:34" x14ac:dyDescent="0.25">
      <c r="A77" s="1" t="s">
        <v>194</v>
      </c>
      <c r="B77" s="11">
        <v>3</v>
      </c>
      <c r="C77" s="37" t="s">
        <v>87</v>
      </c>
      <c r="D77" s="38">
        <v>1</v>
      </c>
      <c r="E77" s="40">
        <v>62.54</v>
      </c>
      <c r="F77" s="40">
        <f>+E77*1620.66</f>
        <v>101356.07640000001</v>
      </c>
      <c r="G77" s="40">
        <f>+F77/60</f>
        <v>1689.2679400000002</v>
      </c>
      <c r="H77" s="40">
        <f>+F77*1.5%</f>
        <v>1520.341146</v>
      </c>
      <c r="I77" s="40">
        <v>0</v>
      </c>
      <c r="J77" s="40">
        <f>+G77+H77+I77</f>
        <v>3209.6090860000004</v>
      </c>
      <c r="K77" s="40">
        <f>+J77/12</f>
        <v>267.46742383333338</v>
      </c>
      <c r="L77" s="40"/>
      <c r="M77" s="40">
        <f>+J77*(100%+5.6%)</f>
        <v>3389.3471948160004</v>
      </c>
      <c r="N77" s="40">
        <f>+K77*N73</f>
        <v>187.22719668333335</v>
      </c>
      <c r="O77" s="40">
        <f>+N77*O73</f>
        <v>149.78175734666669</v>
      </c>
      <c r="P77" s="40">
        <f>+N77*P73</f>
        <v>168.50447701500002</v>
      </c>
      <c r="Q77" s="40">
        <f>+N77*Q73</f>
        <v>187.22719668333335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51"/>
      <c r="AH77" s="55"/>
    </row>
    <row r="78" spans="1:34" x14ac:dyDescent="0.25">
      <c r="A78" s="1" t="s">
        <v>195</v>
      </c>
      <c r="B78" s="11">
        <v>4</v>
      </c>
      <c r="C78" s="20" t="s">
        <v>94</v>
      </c>
      <c r="D78" s="12">
        <v>1</v>
      </c>
      <c r="E78" s="15">
        <v>63.14</v>
      </c>
      <c r="F78" s="15">
        <f>+E78*1620.66</f>
        <v>102328.47240000001</v>
      </c>
      <c r="G78" s="15">
        <f>+F78/60</f>
        <v>1705.4745400000002</v>
      </c>
      <c r="H78" s="15">
        <f>+F78*1.5%</f>
        <v>1534.9270860000001</v>
      </c>
      <c r="I78" s="15">
        <v>0</v>
      </c>
      <c r="J78" s="15">
        <f>+G78+H78+I78</f>
        <v>3240.4016260000003</v>
      </c>
      <c r="K78" s="15">
        <f>+J78/12</f>
        <v>270.03346883333336</v>
      </c>
      <c r="L78" s="15"/>
      <c r="M78" s="15">
        <f>+J78*(100%+5.6%)</f>
        <v>3421.8641170560004</v>
      </c>
      <c r="N78" s="15">
        <f>+K78*N73</f>
        <v>189.02342818333335</v>
      </c>
      <c r="O78" s="15">
        <f>+N78*O73</f>
        <v>151.21874254666668</v>
      </c>
      <c r="P78" s="15">
        <f>+N78*P73</f>
        <v>170.12108536500003</v>
      </c>
      <c r="Q78" s="15">
        <f>+N78*Q73</f>
        <v>189.02342818333335</v>
      </c>
      <c r="R78" s="15"/>
      <c r="S78" s="15"/>
      <c r="T78" s="15"/>
      <c r="U78" s="15"/>
      <c r="V78" s="15"/>
      <c r="W78" s="15"/>
      <c r="X78" s="15"/>
      <c r="Y78" s="15"/>
      <c r="Z78" s="15"/>
      <c r="AA78" s="40"/>
      <c r="AB78" s="40"/>
      <c r="AC78" s="15"/>
      <c r="AD78" s="15"/>
      <c r="AE78" s="15"/>
      <c r="AF78" s="15"/>
      <c r="AG78" s="36"/>
      <c r="AH78" s="55"/>
    </row>
    <row r="79" spans="1:34" x14ac:dyDescent="0.25">
      <c r="B79" s="8"/>
      <c r="C79" s="188" t="s">
        <v>77</v>
      </c>
      <c r="D79" s="188"/>
      <c r="E79" s="41">
        <f>SUM(E75:E78)</f>
        <v>240.32</v>
      </c>
      <c r="F79" s="41">
        <f>SUM(F75:F78)</f>
        <v>389477.01120000007</v>
      </c>
      <c r="G79" s="41">
        <f>SUM(G75:G78)-0.01</f>
        <v>6491.2735199999997</v>
      </c>
      <c r="H79" s="41">
        <f>SUM(H75:H78)</f>
        <v>5842.1551679999993</v>
      </c>
      <c r="I79" s="41" t="e">
        <f>+I78+#REF!</f>
        <v>#REF!</v>
      </c>
      <c r="J79" s="41">
        <f>SUM(J75:J78)</f>
        <v>12333.438688</v>
      </c>
      <c r="K79" s="41">
        <f>SUM(K75:K78)-0.01</f>
        <v>1027.7765573333334</v>
      </c>
      <c r="L79" s="41"/>
      <c r="M79" s="41">
        <f>SUM(M75:M78)</f>
        <v>13024.111254528001</v>
      </c>
      <c r="N79" s="41">
        <f>SUM(N75:N78)</f>
        <v>719.45059013333344</v>
      </c>
      <c r="O79" s="41">
        <f>SUM(O75:O78)</f>
        <v>575.56047210666679</v>
      </c>
      <c r="P79" s="41">
        <f>SUM(P75:P78)-0.01</f>
        <v>647.49553112000001</v>
      </c>
      <c r="Q79" s="41">
        <f>SUM(Q75:Q78)</f>
        <v>719.45059013333344</v>
      </c>
      <c r="R79" s="41"/>
      <c r="S79" s="41">
        <f t="shared" ref="S79:AG79" si="37">SUM(S75:S78)</f>
        <v>0</v>
      </c>
      <c r="T79" s="41">
        <f t="shared" si="37"/>
        <v>0</v>
      </c>
      <c r="U79" s="41">
        <f t="shared" si="37"/>
        <v>0</v>
      </c>
      <c r="V79" s="41">
        <f t="shared" si="37"/>
        <v>0</v>
      </c>
      <c r="W79" s="41">
        <f t="shared" si="37"/>
        <v>0</v>
      </c>
      <c r="X79" s="41">
        <f t="shared" si="37"/>
        <v>0</v>
      </c>
      <c r="Y79" s="41">
        <f t="shared" si="37"/>
        <v>0</v>
      </c>
      <c r="Z79" s="41">
        <f t="shared" si="37"/>
        <v>0</v>
      </c>
      <c r="AA79" s="41">
        <f t="shared" si="37"/>
        <v>0</v>
      </c>
      <c r="AB79" s="41">
        <f t="shared" si="37"/>
        <v>0</v>
      </c>
      <c r="AC79" s="41">
        <f t="shared" si="37"/>
        <v>0</v>
      </c>
      <c r="AD79" s="41">
        <f t="shared" si="37"/>
        <v>0</v>
      </c>
      <c r="AE79" s="41">
        <f t="shared" si="37"/>
        <v>0</v>
      </c>
      <c r="AF79" s="41">
        <f t="shared" si="37"/>
        <v>0</v>
      </c>
      <c r="AG79" s="41">
        <f t="shared" si="37"/>
        <v>0</v>
      </c>
      <c r="AH79" s="55"/>
    </row>
    <row r="80" spans="1:34" x14ac:dyDescent="0.25">
      <c r="B80" s="4"/>
      <c r="C80" s="17"/>
      <c r="D80" s="17"/>
      <c r="E80" s="4"/>
      <c r="F80" s="4"/>
      <c r="G80" s="4"/>
      <c r="H80" s="4"/>
      <c r="I80" s="4"/>
      <c r="J80" s="4"/>
      <c r="K80" s="3"/>
      <c r="L80" s="3"/>
      <c r="M80" s="3"/>
      <c r="N80" s="3"/>
      <c r="O80" s="3"/>
      <c r="P80" s="3"/>
      <c r="Q80" s="3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H80" s="4"/>
    </row>
    <row r="81" spans="1:34" x14ac:dyDescent="0.25">
      <c r="B81" s="3"/>
      <c r="C81" s="4"/>
      <c r="D81" s="6" t="s">
        <v>42</v>
      </c>
      <c r="E81" s="4"/>
      <c r="F81" s="4"/>
      <c r="G81" s="4"/>
      <c r="H81" s="4"/>
      <c r="I81" s="4"/>
      <c r="J81" s="4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3"/>
      <c r="AF81" s="4"/>
      <c r="AG81" s="3"/>
      <c r="AH81" s="4"/>
    </row>
    <row r="82" spans="1:3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20" customHeight="1" x14ac:dyDescent="0.25">
      <c r="B83" s="173" t="s">
        <v>1</v>
      </c>
      <c r="C83" s="175" t="s">
        <v>56</v>
      </c>
      <c r="D83" s="167" t="s">
        <v>3</v>
      </c>
      <c r="E83" s="167" t="s">
        <v>4</v>
      </c>
      <c r="F83" s="167" t="s">
        <v>5</v>
      </c>
      <c r="G83" s="167" t="s">
        <v>6</v>
      </c>
      <c r="H83" s="167" t="s">
        <v>7</v>
      </c>
      <c r="I83" s="167" t="s">
        <v>8</v>
      </c>
      <c r="J83" s="167" t="s">
        <v>9</v>
      </c>
      <c r="K83" s="167" t="s">
        <v>57</v>
      </c>
      <c r="L83" s="23" t="s">
        <v>10</v>
      </c>
      <c r="M83" s="23" t="s">
        <v>10</v>
      </c>
      <c r="N83" s="23" t="s">
        <v>12</v>
      </c>
      <c r="O83" s="169" t="s">
        <v>13</v>
      </c>
      <c r="P83" s="170"/>
      <c r="Q83" s="171"/>
      <c r="R83" s="167" t="s">
        <v>14</v>
      </c>
      <c r="S83" s="183" t="s">
        <v>58</v>
      </c>
      <c r="T83" s="184"/>
      <c r="U83" s="184"/>
      <c r="V83" s="185"/>
      <c r="W83" s="165" t="s">
        <v>21</v>
      </c>
      <c r="X83" s="167" t="s">
        <v>9</v>
      </c>
      <c r="Y83" s="23" t="s">
        <v>245</v>
      </c>
      <c r="Z83" s="23" t="s">
        <v>246</v>
      </c>
      <c r="AA83" s="23" t="s">
        <v>157</v>
      </c>
      <c r="AB83" s="165" t="s">
        <v>59</v>
      </c>
      <c r="AC83" s="186" t="s">
        <v>18</v>
      </c>
      <c r="AD83" s="187"/>
      <c r="AE83" s="187"/>
      <c r="AF83" s="187"/>
      <c r="AG83" s="163" t="s">
        <v>19</v>
      </c>
      <c r="AH83" s="4"/>
    </row>
    <row r="84" spans="1:34" ht="51" x14ac:dyDescent="0.25">
      <c r="B84" s="174"/>
      <c r="C84" s="176"/>
      <c r="D84" s="168"/>
      <c r="E84" s="168"/>
      <c r="F84" s="168"/>
      <c r="G84" s="168"/>
      <c r="H84" s="168"/>
      <c r="I84" s="168"/>
      <c r="J84" s="168"/>
      <c r="K84" s="168"/>
      <c r="L84" s="23">
        <v>5.6</v>
      </c>
      <c r="M84" s="23">
        <v>5.6</v>
      </c>
      <c r="N84" s="23">
        <v>0.7</v>
      </c>
      <c r="O84" s="24">
        <v>0.8</v>
      </c>
      <c r="P84" s="25">
        <v>0.9</v>
      </c>
      <c r="Q84" s="29">
        <v>1</v>
      </c>
      <c r="R84" s="168"/>
      <c r="S84" s="30">
        <v>0.1</v>
      </c>
      <c r="T84" s="31">
        <v>0.2</v>
      </c>
      <c r="U84" s="31">
        <v>0.3</v>
      </c>
      <c r="V84" s="31">
        <v>0.1</v>
      </c>
      <c r="W84" s="166"/>
      <c r="X84" s="168"/>
      <c r="Y84" s="23">
        <v>10.4</v>
      </c>
      <c r="Z84" s="23">
        <v>5.6</v>
      </c>
      <c r="AA84" s="23"/>
      <c r="AB84" s="166"/>
      <c r="AC84" s="34" t="s">
        <v>20</v>
      </c>
      <c r="AD84" s="34" t="s">
        <v>21</v>
      </c>
      <c r="AE84" s="34" t="s">
        <v>22</v>
      </c>
      <c r="AF84" s="34" t="s">
        <v>23</v>
      </c>
      <c r="AG84" s="164"/>
      <c r="AH84" s="4"/>
    </row>
    <row r="85" spans="1:34" x14ac:dyDescent="0.25">
      <c r="B85" s="8"/>
      <c r="C85" s="9"/>
      <c r="D85" s="10">
        <v>0</v>
      </c>
      <c r="E85" s="10">
        <v>1</v>
      </c>
      <c r="F85" s="10">
        <v>2</v>
      </c>
      <c r="G85" s="10" t="s">
        <v>24</v>
      </c>
      <c r="H85" s="10" t="s">
        <v>25</v>
      </c>
      <c r="I85" s="10" t="s">
        <v>26</v>
      </c>
      <c r="J85" s="10" t="s">
        <v>27</v>
      </c>
      <c r="K85" s="26" t="s">
        <v>60</v>
      </c>
      <c r="L85" s="10" t="s">
        <v>61</v>
      </c>
      <c r="M85" s="10" t="s">
        <v>61</v>
      </c>
      <c r="N85" s="10" t="s">
        <v>62</v>
      </c>
      <c r="O85" s="10" t="s">
        <v>63</v>
      </c>
      <c r="P85" s="10" t="s">
        <v>63</v>
      </c>
      <c r="Q85" s="10" t="s">
        <v>63</v>
      </c>
      <c r="R85" s="10">
        <v>9</v>
      </c>
      <c r="S85" s="32" t="s">
        <v>163</v>
      </c>
      <c r="T85" s="32" t="s">
        <v>164</v>
      </c>
      <c r="U85" s="32" t="s">
        <v>165</v>
      </c>
      <c r="V85" s="32" t="s">
        <v>166</v>
      </c>
      <c r="W85" s="32" t="s">
        <v>64</v>
      </c>
      <c r="X85" s="10" t="s">
        <v>65</v>
      </c>
      <c r="Y85" s="10" t="s">
        <v>66</v>
      </c>
      <c r="Z85" s="10" t="s">
        <v>67</v>
      </c>
      <c r="AA85" s="10" t="s">
        <v>158</v>
      </c>
      <c r="AB85" s="10" t="s">
        <v>243</v>
      </c>
      <c r="AC85" s="10">
        <v>16</v>
      </c>
      <c r="AD85" s="32" t="s">
        <v>159</v>
      </c>
      <c r="AE85" s="32" t="s">
        <v>160</v>
      </c>
      <c r="AF85" s="32" t="s">
        <v>161</v>
      </c>
      <c r="AG85" s="10">
        <v>17</v>
      </c>
      <c r="AH85" s="4"/>
    </row>
    <row r="86" spans="1:34" x14ac:dyDescent="0.25">
      <c r="A86" s="1" t="s">
        <v>191</v>
      </c>
      <c r="B86" s="11">
        <v>1</v>
      </c>
      <c r="C86" s="37" t="s">
        <v>86</v>
      </c>
      <c r="D86" s="38">
        <v>1</v>
      </c>
      <c r="E86" s="40">
        <v>56.55</v>
      </c>
      <c r="F86" s="40">
        <f>+E86*1620.66</f>
        <v>91648.323000000004</v>
      </c>
      <c r="G86" s="40">
        <f>+F86/60</f>
        <v>1527.4720500000001</v>
      </c>
      <c r="H86" s="40">
        <f>+F86*1.5%</f>
        <v>1374.724845</v>
      </c>
      <c r="I86" s="40">
        <f>F86*0.5%</f>
        <v>458.24161500000002</v>
      </c>
      <c r="J86" s="40">
        <v>3360.43</v>
      </c>
      <c r="K86" s="40">
        <f>+J86/12</f>
        <v>280.0358333333333</v>
      </c>
      <c r="L86" s="40"/>
      <c r="M86" s="40">
        <f>+J86*(100%+5.6%)</f>
        <v>3548.6140799999998</v>
      </c>
      <c r="N86" s="40">
        <f>K86*N84</f>
        <v>196.0250833333333</v>
      </c>
      <c r="O86" s="40">
        <f>N86*O84</f>
        <v>156.82006666666666</v>
      </c>
      <c r="P86" s="40">
        <f>N86*P84</f>
        <v>176.42257499999997</v>
      </c>
      <c r="Q86" s="40">
        <f>+N86*Q84</f>
        <v>196.0250833333333</v>
      </c>
      <c r="R86" s="40"/>
      <c r="S86" s="40"/>
      <c r="T86" s="40"/>
      <c r="U86" s="40"/>
      <c r="V86" s="40"/>
      <c r="W86" s="40"/>
      <c r="X86" s="40"/>
      <c r="Y86" s="10"/>
      <c r="Z86" s="10"/>
      <c r="AA86" s="10"/>
      <c r="AB86" s="10"/>
      <c r="AC86" s="10"/>
      <c r="AD86" s="32"/>
      <c r="AE86" s="32"/>
      <c r="AF86" s="32"/>
      <c r="AG86" s="10"/>
      <c r="AH86" s="4"/>
    </row>
    <row r="87" spans="1:34" ht="15" customHeight="1" x14ac:dyDescent="0.25">
      <c r="A87" s="1" t="s">
        <v>196</v>
      </c>
      <c r="B87" s="123">
        <v>2</v>
      </c>
      <c r="C87" s="123" t="s">
        <v>89</v>
      </c>
      <c r="D87" s="124">
        <v>1</v>
      </c>
      <c r="E87" s="125">
        <v>60.83</v>
      </c>
      <c r="F87" s="126">
        <f>+E87*1620.66</f>
        <v>98584.747799999997</v>
      </c>
      <c r="G87" s="125">
        <f>+F87/60</f>
        <v>1643.0791299999999</v>
      </c>
      <c r="H87" s="125">
        <f>F87*1.5%</f>
        <v>1478.771217</v>
      </c>
      <c r="I87" s="125">
        <f>F87*0.5%</f>
        <v>492.92373900000001</v>
      </c>
      <c r="J87" s="125">
        <f>G87+H87+I87</f>
        <v>3614.7740859999994</v>
      </c>
      <c r="K87" s="125">
        <f>+J87/12</f>
        <v>301.23117383333329</v>
      </c>
      <c r="L87" s="125"/>
      <c r="M87" s="125">
        <f>+J87*(100%+5.6%)</f>
        <v>3817.2014348159996</v>
      </c>
      <c r="N87" s="125">
        <f>+K87*N84</f>
        <v>210.86182168333329</v>
      </c>
      <c r="O87" s="125">
        <f>+N87*O84</f>
        <v>168.68945734666664</v>
      </c>
      <c r="P87" s="125">
        <v>189.77</v>
      </c>
      <c r="Q87" s="125">
        <f>+N87*Q84</f>
        <v>210.86182168333329</v>
      </c>
      <c r="R87" s="125"/>
      <c r="S87" s="125"/>
      <c r="T87" s="125"/>
      <c r="U87" s="125"/>
      <c r="V87" s="125"/>
      <c r="W87" s="125"/>
      <c r="X87" s="125"/>
      <c r="Y87" s="125">
        <v>0</v>
      </c>
      <c r="Z87" s="125">
        <v>0</v>
      </c>
      <c r="AA87" s="125"/>
      <c r="AB87" s="125"/>
      <c r="AC87" s="125"/>
      <c r="AD87" s="125"/>
      <c r="AE87" s="125"/>
      <c r="AF87" s="127"/>
      <c r="AG87" s="128"/>
      <c r="AH87" s="55"/>
    </row>
    <row r="88" spans="1:34" ht="12.95" customHeight="1" x14ac:dyDescent="0.25">
      <c r="A88" s="1" t="s">
        <v>197</v>
      </c>
      <c r="B88" s="11">
        <v>3</v>
      </c>
      <c r="C88" s="20" t="s">
        <v>90</v>
      </c>
      <c r="D88" s="12">
        <v>1</v>
      </c>
      <c r="E88" s="15">
        <v>61.35</v>
      </c>
      <c r="F88" s="14">
        <f>+E88*1620.66</f>
        <v>99427.491000000009</v>
      </c>
      <c r="G88" s="15">
        <f>+F88/60</f>
        <v>1657.1248500000002</v>
      </c>
      <c r="H88" s="15">
        <f>F88*1.5%</f>
        <v>1491.4123650000001</v>
      </c>
      <c r="I88" s="15">
        <f>F88*0.5%</f>
        <v>497.13745500000005</v>
      </c>
      <c r="J88" s="15">
        <f>G88+H88+I88</f>
        <v>3645.6746700000003</v>
      </c>
      <c r="K88" s="15">
        <f>+J88/12</f>
        <v>303.80622250000005</v>
      </c>
      <c r="L88" s="15"/>
      <c r="M88" s="15">
        <f>+J88*(100%+5.6%)</f>
        <v>3849.8324515200006</v>
      </c>
      <c r="N88" s="15">
        <v>212.67</v>
      </c>
      <c r="O88" s="15">
        <f>+N88*O84</f>
        <v>170.136</v>
      </c>
      <c r="P88" s="15">
        <f>+N88*P84</f>
        <v>191.40299999999999</v>
      </c>
      <c r="Q88" s="15">
        <f>+N88*Q84</f>
        <v>212.67</v>
      </c>
      <c r="R88" s="15"/>
      <c r="S88" s="15"/>
      <c r="T88" s="15"/>
      <c r="U88" s="15"/>
      <c r="V88" s="15"/>
      <c r="W88" s="15"/>
      <c r="X88" s="15"/>
      <c r="Y88" s="15"/>
      <c r="Z88" s="15"/>
      <c r="AA88" s="40"/>
      <c r="AB88" s="40"/>
      <c r="AC88" s="15"/>
      <c r="AD88" s="15"/>
      <c r="AE88" s="15"/>
      <c r="AF88" s="35"/>
      <c r="AG88" s="36"/>
      <c r="AH88" s="55"/>
    </row>
    <row r="89" spans="1:34" ht="14.1" customHeight="1" x14ac:dyDescent="0.25">
      <c r="A89" s="1" t="s">
        <v>198</v>
      </c>
      <c r="B89" s="37">
        <v>4</v>
      </c>
      <c r="C89" s="20" t="s">
        <v>91</v>
      </c>
      <c r="D89" s="12">
        <v>1</v>
      </c>
      <c r="E89" s="15">
        <v>63.14</v>
      </c>
      <c r="F89" s="14">
        <f>+E89*1620.66</f>
        <v>102328.47240000001</v>
      </c>
      <c r="G89" s="15">
        <f>F89/60</f>
        <v>1705.4745400000002</v>
      </c>
      <c r="H89" s="15">
        <f>F89*1.5%</f>
        <v>1534.9270860000001</v>
      </c>
      <c r="I89" s="15">
        <f>F89*0.5%</f>
        <v>511.64236200000011</v>
      </c>
      <c r="J89" s="15">
        <f>G89+H89+I89</f>
        <v>3752.0439880000004</v>
      </c>
      <c r="K89" s="15">
        <f>+J89/12</f>
        <v>312.67033233333336</v>
      </c>
      <c r="L89" s="15"/>
      <c r="M89" s="15">
        <f>+J89*(100%+5.6%)</f>
        <v>3962.1584513280004</v>
      </c>
      <c r="N89" s="15">
        <f>+K89*N84</f>
        <v>218.86923263333335</v>
      </c>
      <c r="O89" s="15">
        <f>+N89*O84</f>
        <v>175.09538610666669</v>
      </c>
      <c r="P89" s="15">
        <f>+N89*P84</f>
        <v>196.98230937000002</v>
      </c>
      <c r="Q89" s="15">
        <f>+N89*Q84</f>
        <v>218.86923263333335</v>
      </c>
      <c r="R89" s="15"/>
      <c r="S89" s="15"/>
      <c r="T89" s="15"/>
      <c r="U89" s="15"/>
      <c r="V89" s="15"/>
      <c r="W89" s="15"/>
      <c r="X89" s="15"/>
      <c r="Y89" s="15"/>
      <c r="Z89" s="15"/>
      <c r="AA89" s="40"/>
      <c r="AB89" s="40"/>
      <c r="AC89" s="15"/>
      <c r="AD89" s="15"/>
      <c r="AE89" s="15"/>
      <c r="AF89" s="35"/>
      <c r="AG89" s="36"/>
      <c r="AH89" s="55"/>
    </row>
    <row r="90" spans="1:34" ht="14.1" customHeight="1" x14ac:dyDescent="0.25">
      <c r="A90" s="1" t="s">
        <v>199</v>
      </c>
      <c r="B90" s="11">
        <v>5</v>
      </c>
      <c r="C90" s="20" t="s">
        <v>97</v>
      </c>
      <c r="D90" s="12">
        <v>1</v>
      </c>
      <c r="E90" s="15">
        <v>61.35</v>
      </c>
      <c r="F90" s="14">
        <f>+E90*1620.66</f>
        <v>99427.491000000009</v>
      </c>
      <c r="G90" s="15">
        <f>F90/60</f>
        <v>1657.1248500000002</v>
      </c>
      <c r="H90" s="15">
        <f>F90*1.5%</f>
        <v>1491.4123650000001</v>
      </c>
      <c r="I90" s="15">
        <f>F90*0.5%</f>
        <v>497.13745500000005</v>
      </c>
      <c r="J90" s="15">
        <f>G90+H90+I90</f>
        <v>3645.6746700000003</v>
      </c>
      <c r="K90" s="15">
        <f>+J90/12</f>
        <v>303.80622250000005</v>
      </c>
      <c r="L90" s="15"/>
      <c r="M90" s="15">
        <f>+J90*(100%+5.6%)</f>
        <v>3849.8324515200006</v>
      </c>
      <c r="N90" s="15">
        <v>212.67</v>
      </c>
      <c r="O90" s="15">
        <f>+N90*O84</f>
        <v>170.136</v>
      </c>
      <c r="P90" s="15">
        <f>+N90*P84</f>
        <v>191.40299999999999</v>
      </c>
      <c r="Q90" s="15">
        <f>+N90*Q84</f>
        <v>212.67</v>
      </c>
      <c r="R90" s="15">
        <v>204.41</v>
      </c>
      <c r="S90" s="15">
        <f>R90*S84</f>
        <v>20.441000000000003</v>
      </c>
      <c r="T90" s="15">
        <v>0</v>
      </c>
      <c r="U90" s="15">
        <v>0</v>
      </c>
      <c r="V90" s="15">
        <v>0</v>
      </c>
      <c r="W90" s="15">
        <f>O90</f>
        <v>170.136</v>
      </c>
      <c r="X90" s="15">
        <v>2041.68</v>
      </c>
      <c r="Y90" s="15">
        <f>X90*(100%+10.4%)</f>
        <v>2254.0147200000001</v>
      </c>
      <c r="Z90" s="15">
        <v>2380.23</v>
      </c>
      <c r="AA90" s="40"/>
      <c r="AB90" s="40">
        <f>AA90/12</f>
        <v>0</v>
      </c>
      <c r="AC90" s="15">
        <f>K90</f>
        <v>303.80622250000005</v>
      </c>
      <c r="AD90" s="15">
        <v>61</v>
      </c>
      <c r="AE90" s="15">
        <f>G90/12</f>
        <v>138.0937375</v>
      </c>
      <c r="AF90" s="35">
        <f>AE90/AC90*100</f>
        <v>45.454545454545446</v>
      </c>
      <c r="AG90" s="36">
        <f>AD90*AF90%</f>
        <v>27.727272727272723</v>
      </c>
      <c r="AH90" s="55"/>
    </row>
    <row r="91" spans="1:34" x14ac:dyDescent="0.25">
      <c r="B91" s="8"/>
      <c r="C91" s="188" t="s">
        <v>77</v>
      </c>
      <c r="D91" s="188"/>
      <c r="E91" s="41">
        <f t="shared" ref="E91:I91" si="38">SUM(E87:E90)</f>
        <v>246.67</v>
      </c>
      <c r="F91" s="41">
        <f t="shared" si="38"/>
        <v>399768.20220000006</v>
      </c>
      <c r="G91" s="41">
        <f>SUM(G87:G90)-0.01</f>
        <v>6662.7933700000003</v>
      </c>
      <c r="H91" s="41">
        <f t="shared" si="38"/>
        <v>5996.5230330000004</v>
      </c>
      <c r="I91" s="41">
        <f t="shared" si="38"/>
        <v>1998.8410110000002</v>
      </c>
      <c r="J91" s="41">
        <f>SUM(J87:J90)-0.02</f>
        <v>14658.147413999999</v>
      </c>
      <c r="K91" s="41">
        <f>SUM(K87:K90)+0.01</f>
        <v>1221.5239511666668</v>
      </c>
      <c r="L91" s="41"/>
      <c r="M91" s="41">
        <f>SUM(M87:M90)</f>
        <v>15479.024789184001</v>
      </c>
      <c r="N91" s="41">
        <f>SUM(N87:N90)-0.01</f>
        <v>855.06105431666663</v>
      </c>
      <c r="O91" s="41">
        <f>SUM(O87:O90)</f>
        <v>684.05684345333339</v>
      </c>
      <c r="P91" s="41">
        <f>SUM(P87:P90)+0.01</f>
        <v>769.56830937000007</v>
      </c>
      <c r="Q91" s="41">
        <f>SUM(Q87:Q90)-0.01</f>
        <v>855.06105431666663</v>
      </c>
      <c r="R91" s="41"/>
      <c r="S91" s="41">
        <f>SUM(S87:S90)</f>
        <v>20.441000000000003</v>
      </c>
      <c r="T91" s="41">
        <f t="shared" ref="T91:AG91" si="39">SUM(T87:T90)</f>
        <v>0</v>
      </c>
      <c r="U91" s="41">
        <f t="shared" si="39"/>
        <v>0</v>
      </c>
      <c r="V91" s="41">
        <f t="shared" si="39"/>
        <v>0</v>
      </c>
      <c r="W91" s="41">
        <f t="shared" si="39"/>
        <v>170.136</v>
      </c>
      <c r="X91" s="41">
        <f t="shared" si="39"/>
        <v>2041.68</v>
      </c>
      <c r="Y91" s="41">
        <f t="shared" si="39"/>
        <v>2254.0147200000001</v>
      </c>
      <c r="Z91" s="41">
        <f t="shared" si="39"/>
        <v>2380.23</v>
      </c>
      <c r="AA91" s="41">
        <f t="shared" si="39"/>
        <v>0</v>
      </c>
      <c r="AB91" s="41">
        <f t="shared" si="39"/>
        <v>0</v>
      </c>
      <c r="AC91" s="41">
        <f t="shared" si="39"/>
        <v>303.80622250000005</v>
      </c>
      <c r="AD91" s="41">
        <f t="shared" si="39"/>
        <v>61</v>
      </c>
      <c r="AE91" s="41">
        <f t="shared" si="39"/>
        <v>138.0937375</v>
      </c>
      <c r="AF91" s="41">
        <f t="shared" si="39"/>
        <v>45.454545454545446</v>
      </c>
      <c r="AG91" s="41">
        <f t="shared" si="39"/>
        <v>27.727272727272723</v>
      </c>
      <c r="AH91" s="55"/>
    </row>
    <row r="92" spans="1:34" x14ac:dyDescent="0.25">
      <c r="B92" s="4"/>
      <c r="C92" s="42"/>
      <c r="D92" s="42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55"/>
    </row>
    <row r="93" spans="1:34" ht="20.100000000000001" customHeight="1" x14ac:dyDescent="0.25">
      <c r="B93" s="4"/>
      <c r="C93" s="181" t="s">
        <v>98</v>
      </c>
      <c r="D93" s="181"/>
      <c r="E93" s="181"/>
      <c r="F93" s="181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"/>
    </row>
    <row r="94" spans="1:34" ht="11.1" customHeight="1" x14ac:dyDescent="0.25">
      <c r="B94" s="4"/>
      <c r="C94" s="45"/>
      <c r="D94" s="45"/>
      <c r="E94" s="45"/>
      <c r="F94" s="45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"/>
    </row>
    <row r="95" spans="1:34" x14ac:dyDescent="0.25">
      <c r="B95" s="189" t="s">
        <v>0</v>
      </c>
      <c r="C95" s="189"/>
      <c r="D95" s="189"/>
      <c r="E95" s="18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107.1" customHeight="1" x14ac:dyDescent="0.25">
      <c r="B97" s="173" t="s">
        <v>1</v>
      </c>
      <c r="C97" s="175" t="s">
        <v>56</v>
      </c>
      <c r="D97" s="167" t="s">
        <v>3</v>
      </c>
      <c r="E97" s="167" t="s">
        <v>4</v>
      </c>
      <c r="F97" s="167" t="s">
        <v>5</v>
      </c>
      <c r="G97" s="167" t="s">
        <v>6</v>
      </c>
      <c r="H97" s="167" t="s">
        <v>7</v>
      </c>
      <c r="I97" s="167" t="s">
        <v>8</v>
      </c>
      <c r="J97" s="167" t="s">
        <v>9</v>
      </c>
      <c r="K97" s="167" t="s">
        <v>57</v>
      </c>
      <c r="L97" s="23" t="s">
        <v>10</v>
      </c>
      <c r="M97" s="23" t="s">
        <v>10</v>
      </c>
      <c r="N97" s="23" t="s">
        <v>12</v>
      </c>
      <c r="O97" s="169" t="s">
        <v>13</v>
      </c>
      <c r="P97" s="170"/>
      <c r="Q97" s="171"/>
      <c r="R97" s="167" t="s">
        <v>14</v>
      </c>
      <c r="S97" s="183" t="s">
        <v>58</v>
      </c>
      <c r="T97" s="184"/>
      <c r="U97" s="184"/>
      <c r="V97" s="185"/>
      <c r="W97" s="165" t="s">
        <v>21</v>
      </c>
      <c r="X97" s="167" t="s">
        <v>9</v>
      </c>
      <c r="Y97" s="23" t="s">
        <v>245</v>
      </c>
      <c r="Z97" s="23" t="s">
        <v>246</v>
      </c>
      <c r="AA97" s="23" t="s">
        <v>157</v>
      </c>
      <c r="AB97" s="165" t="s">
        <v>59</v>
      </c>
      <c r="AC97" s="186" t="s">
        <v>18</v>
      </c>
      <c r="AD97" s="187"/>
      <c r="AE97" s="187"/>
      <c r="AF97" s="187"/>
      <c r="AG97" s="163" t="s">
        <v>19</v>
      </c>
      <c r="AH97"/>
    </row>
    <row r="98" spans="1:34" ht="51" x14ac:dyDescent="0.25">
      <c r="B98" s="174"/>
      <c r="C98" s="176"/>
      <c r="D98" s="168"/>
      <c r="E98" s="168"/>
      <c r="F98" s="168"/>
      <c r="G98" s="168"/>
      <c r="H98" s="168"/>
      <c r="I98" s="168"/>
      <c r="J98" s="168"/>
      <c r="K98" s="168"/>
      <c r="L98" s="23">
        <v>5.6</v>
      </c>
      <c r="M98" s="23">
        <v>5.6</v>
      </c>
      <c r="N98" s="23">
        <v>0.7</v>
      </c>
      <c r="O98" s="24">
        <v>0.8</v>
      </c>
      <c r="P98" s="25">
        <v>0.9</v>
      </c>
      <c r="Q98" s="29">
        <v>1</v>
      </c>
      <c r="R98" s="168"/>
      <c r="S98" s="30">
        <v>0.1</v>
      </c>
      <c r="T98" s="31">
        <v>0.2</v>
      </c>
      <c r="U98" s="31">
        <v>0.3</v>
      </c>
      <c r="V98" s="31">
        <v>0.1</v>
      </c>
      <c r="W98" s="166"/>
      <c r="X98" s="168"/>
      <c r="Y98" s="23">
        <v>10.4</v>
      </c>
      <c r="Z98" s="23">
        <v>5.6</v>
      </c>
      <c r="AA98" s="23"/>
      <c r="AB98" s="166"/>
      <c r="AC98" s="34" t="s">
        <v>20</v>
      </c>
      <c r="AD98" s="34" t="s">
        <v>21</v>
      </c>
      <c r="AE98" s="34" t="s">
        <v>22</v>
      </c>
      <c r="AF98" s="34" t="s">
        <v>23</v>
      </c>
      <c r="AG98" s="164"/>
      <c r="AH98"/>
    </row>
    <row r="99" spans="1:34" ht="15" x14ac:dyDescent="0.25">
      <c r="B99" s="8"/>
      <c r="C99" s="9"/>
      <c r="D99" s="10">
        <v>0</v>
      </c>
      <c r="E99" s="10">
        <v>1</v>
      </c>
      <c r="F99" s="10">
        <v>2</v>
      </c>
      <c r="G99" s="10" t="s">
        <v>24</v>
      </c>
      <c r="H99" s="10" t="s">
        <v>25</v>
      </c>
      <c r="I99" s="10" t="s">
        <v>26</v>
      </c>
      <c r="J99" s="10" t="s">
        <v>27</v>
      </c>
      <c r="K99" s="26" t="s">
        <v>60</v>
      </c>
      <c r="L99" s="10" t="s">
        <v>61</v>
      </c>
      <c r="M99" s="10" t="s">
        <v>61</v>
      </c>
      <c r="N99" s="10" t="s">
        <v>62</v>
      </c>
      <c r="O99" s="10" t="s">
        <v>63</v>
      </c>
      <c r="P99" s="10" t="s">
        <v>63</v>
      </c>
      <c r="Q99" s="10" t="s">
        <v>63</v>
      </c>
      <c r="R99" s="10">
        <v>9</v>
      </c>
      <c r="S99" s="32" t="s">
        <v>163</v>
      </c>
      <c r="T99" s="32" t="s">
        <v>164</v>
      </c>
      <c r="U99" s="32" t="s">
        <v>165</v>
      </c>
      <c r="V99" s="32" t="s">
        <v>166</v>
      </c>
      <c r="W99" s="32" t="s">
        <v>64</v>
      </c>
      <c r="X99" s="10" t="s">
        <v>65</v>
      </c>
      <c r="Y99" s="10" t="s">
        <v>66</v>
      </c>
      <c r="Z99" s="10" t="s">
        <v>67</v>
      </c>
      <c r="AA99" s="10" t="s">
        <v>158</v>
      </c>
      <c r="AB99" s="10" t="s">
        <v>243</v>
      </c>
      <c r="AC99" s="10">
        <v>16</v>
      </c>
      <c r="AD99" s="32" t="s">
        <v>159</v>
      </c>
      <c r="AE99" s="32" t="s">
        <v>160</v>
      </c>
      <c r="AF99" s="32" t="s">
        <v>161</v>
      </c>
      <c r="AG99" s="10">
        <v>17</v>
      </c>
      <c r="AH99"/>
    </row>
    <row r="100" spans="1:34" ht="15" x14ac:dyDescent="0.25">
      <c r="A100" s="1" t="s">
        <v>200</v>
      </c>
      <c r="B100" s="37">
        <v>1</v>
      </c>
      <c r="C100" s="37" t="s">
        <v>99</v>
      </c>
      <c r="D100" s="38">
        <v>2</v>
      </c>
      <c r="E100" s="46">
        <v>99.13</v>
      </c>
      <c r="F100" s="40">
        <f>+E100*952.3639558</f>
        <v>94407.838938453991</v>
      </c>
      <c r="G100" s="40">
        <f>+F100/60</f>
        <v>1573.4639823075665</v>
      </c>
      <c r="H100" s="40">
        <f>+F100*1.5%</f>
        <v>1416.1175840768099</v>
      </c>
      <c r="I100" s="40">
        <v>0</v>
      </c>
      <c r="J100" s="40">
        <f>+G100+H100</f>
        <v>2989.5815663843764</v>
      </c>
      <c r="K100" s="40">
        <f>+J100/12</f>
        <v>249.13179719869802</v>
      </c>
      <c r="L100" s="40"/>
      <c r="M100" s="40">
        <f>J100*(100%+5.6%)</f>
        <v>3156.9981341019015</v>
      </c>
      <c r="N100" s="40">
        <f>+K100*N98</f>
        <v>174.3922580390886</v>
      </c>
      <c r="O100" s="40">
        <f>+N100*O98</f>
        <v>139.51380643127089</v>
      </c>
      <c r="P100" s="40">
        <f>+N100*P98</f>
        <v>156.95303223517973</v>
      </c>
      <c r="Q100" s="40">
        <f>+N100*Q98</f>
        <v>174.3922580390886</v>
      </c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51"/>
      <c r="AH100"/>
    </row>
    <row r="101" spans="1:34" ht="15" x14ac:dyDescent="0.25">
      <c r="A101" s="1" t="s">
        <v>201</v>
      </c>
      <c r="B101" s="123">
        <v>2</v>
      </c>
      <c r="C101" s="123" t="s">
        <v>100</v>
      </c>
      <c r="D101" s="124">
        <v>2</v>
      </c>
      <c r="E101" s="125">
        <v>99</v>
      </c>
      <c r="F101" s="125">
        <f>+E101*952.3639558</f>
        <v>94284.031624199997</v>
      </c>
      <c r="G101" s="125">
        <f>+F101/60</f>
        <v>1571.40052707</v>
      </c>
      <c r="H101" s="125">
        <f>+F101*1.5%</f>
        <v>1414.260474363</v>
      </c>
      <c r="I101" s="125">
        <v>0</v>
      </c>
      <c r="J101" s="125">
        <f>+G101+H101</f>
        <v>2985.6610014329999</v>
      </c>
      <c r="K101" s="125">
        <v>248.8</v>
      </c>
      <c r="L101" s="125"/>
      <c r="M101" s="125"/>
      <c r="N101" s="125">
        <f>+K101*N98</f>
        <v>174.16</v>
      </c>
      <c r="O101" s="125">
        <f>+N101*O98</f>
        <v>139.328</v>
      </c>
      <c r="P101" s="125">
        <f>+N101*P98</f>
        <v>156.744</v>
      </c>
      <c r="Q101" s="125">
        <f>+N101</f>
        <v>174.16</v>
      </c>
      <c r="R101" s="125"/>
      <c r="S101" s="125"/>
      <c r="T101" s="125"/>
      <c r="U101" s="125"/>
      <c r="V101" s="125"/>
      <c r="W101" s="125"/>
      <c r="X101" s="125"/>
      <c r="Y101" s="125">
        <v>0</v>
      </c>
      <c r="Z101" s="125">
        <v>0</v>
      </c>
      <c r="AA101" s="125"/>
      <c r="AB101" s="125"/>
      <c r="AC101" s="125"/>
      <c r="AD101" s="125"/>
      <c r="AE101" s="125"/>
      <c r="AF101" s="125"/>
      <c r="AG101" s="129"/>
      <c r="AH101"/>
    </row>
    <row r="102" spans="1:34" ht="15" x14ac:dyDescent="0.25">
      <c r="B102" s="8"/>
      <c r="C102" s="177" t="s">
        <v>77</v>
      </c>
      <c r="D102" s="177"/>
      <c r="E102" s="16">
        <f>SUM(E100:E101)</f>
        <v>198.13</v>
      </c>
      <c r="F102" s="16">
        <f>SUM(F100:F101)</f>
        <v>188691.87056265399</v>
      </c>
      <c r="G102" s="16">
        <f>SUM(G100:G101)</f>
        <v>3144.8645093775667</v>
      </c>
      <c r="H102" s="16">
        <f>SUM(H100:H101)</f>
        <v>2830.37805843981</v>
      </c>
      <c r="I102" s="16">
        <f>+I100</f>
        <v>0</v>
      </c>
      <c r="J102" s="16">
        <f>SUM(J100:J101)</f>
        <v>5975.2425678173768</v>
      </c>
      <c r="K102" s="16">
        <f>SUM(K100:K101)</f>
        <v>497.93179719869806</v>
      </c>
      <c r="L102" s="16"/>
      <c r="M102" s="16">
        <f>SUM(M100:M100)</f>
        <v>3156.9981341019015</v>
      </c>
      <c r="N102" s="16">
        <f>SUM(N100:N101)</f>
        <v>348.5522580390886</v>
      </c>
      <c r="O102" s="16">
        <f>SUM(O100:O101)</f>
        <v>278.84180643127092</v>
      </c>
      <c r="P102" s="16">
        <f>SUM(P100:P101)-0.01</f>
        <v>313.68703223517974</v>
      </c>
      <c r="Q102" s="16">
        <f>SUM(Q100:Q101)</f>
        <v>348.5522580390886</v>
      </c>
      <c r="R102" s="16"/>
      <c r="S102" s="16">
        <f>SUM(S100:S101)</f>
        <v>0</v>
      </c>
      <c r="T102" s="16">
        <f t="shared" ref="T102:AG102" si="40">SUM(T100:T101)</f>
        <v>0</v>
      </c>
      <c r="U102" s="16">
        <f t="shared" si="40"/>
        <v>0</v>
      </c>
      <c r="V102" s="16">
        <f t="shared" si="40"/>
        <v>0</v>
      </c>
      <c r="W102" s="16">
        <f t="shared" si="40"/>
        <v>0</v>
      </c>
      <c r="X102" s="16">
        <f t="shared" si="40"/>
        <v>0</v>
      </c>
      <c r="Y102" s="16">
        <f t="shared" si="40"/>
        <v>0</v>
      </c>
      <c r="Z102" s="16">
        <f t="shared" si="40"/>
        <v>0</v>
      </c>
      <c r="AA102" s="16">
        <f t="shared" si="40"/>
        <v>0</v>
      </c>
      <c r="AB102" s="16">
        <f t="shared" si="40"/>
        <v>0</v>
      </c>
      <c r="AC102" s="16">
        <f t="shared" si="40"/>
        <v>0</v>
      </c>
      <c r="AD102" s="16">
        <f t="shared" si="40"/>
        <v>0</v>
      </c>
      <c r="AE102" s="16">
        <f t="shared" si="40"/>
        <v>0</v>
      </c>
      <c r="AF102" s="16">
        <f t="shared" si="40"/>
        <v>0</v>
      </c>
      <c r="AG102" s="16">
        <f t="shared" si="40"/>
        <v>0</v>
      </c>
      <c r="AH102"/>
    </row>
    <row r="103" spans="1:34" ht="15" x14ac:dyDescent="0.25">
      <c r="B103" s="4"/>
      <c r="C103" s="21"/>
      <c r="D103" s="21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44"/>
      <c r="AG103" s="44"/>
      <c r="AH103"/>
    </row>
    <row r="104" spans="1:34" ht="15" x14ac:dyDescent="0.25">
      <c r="B104" s="4"/>
      <c r="C104" s="21"/>
      <c r="D104" s="21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44"/>
      <c r="AG104" s="44"/>
      <c r="AH104"/>
    </row>
    <row r="105" spans="1:34" ht="15" x14ac:dyDescent="0.25">
      <c r="B105" s="4"/>
      <c r="C105" s="21"/>
      <c r="D105" s="21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44"/>
      <c r="AG105" s="44"/>
      <c r="AH105"/>
    </row>
    <row r="106" spans="1:34" ht="15" x14ac:dyDescent="0.25">
      <c r="B106" s="4"/>
      <c r="C106" s="21"/>
      <c r="D106" s="21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44"/>
      <c r="AG106" s="44"/>
      <c r="AH106"/>
    </row>
    <row r="107" spans="1:34" ht="15" x14ac:dyDescent="0.25">
      <c r="B107" s="4"/>
      <c r="C107" s="21"/>
      <c r="D107" s="21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44"/>
      <c r="AG107" s="44"/>
      <c r="AH107"/>
    </row>
    <row r="108" spans="1:34" ht="14.1" customHeight="1" x14ac:dyDescent="0.25">
      <c r="B108" s="47"/>
      <c r="C108" s="47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7"/>
      <c r="Y108" s="47"/>
      <c r="Z108" s="47"/>
      <c r="AA108" s="47"/>
      <c r="AB108" s="47"/>
      <c r="AC108" s="47"/>
      <c r="AD108" s="47"/>
      <c r="AE108" s="47"/>
      <c r="AF108" s="52"/>
      <c r="AG108" s="53"/>
      <c r="AH108" s="4"/>
    </row>
    <row r="109" spans="1:34" ht="18" customHeight="1" x14ac:dyDescent="0.25">
      <c r="B109" s="47" t="s">
        <v>101</v>
      </c>
      <c r="C109" s="47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7"/>
      <c r="Y109" s="47"/>
      <c r="Z109" s="47"/>
      <c r="AA109" s="47"/>
      <c r="AB109" s="47"/>
      <c r="AC109" s="47"/>
      <c r="AD109" s="47"/>
      <c r="AE109" s="47"/>
      <c r="AF109" s="52"/>
      <c r="AG109" s="53"/>
      <c r="AH109" s="4"/>
    </row>
    <row r="110" spans="1:34" ht="21.95" customHeight="1" x14ac:dyDescent="0.25">
      <c r="A110" s="2"/>
      <c r="B110" s="2"/>
      <c r="C110" s="2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2"/>
      <c r="Y110" s="2"/>
      <c r="Z110" s="2"/>
      <c r="AA110" s="2"/>
      <c r="AB110" s="2"/>
      <c r="AC110" s="2"/>
      <c r="AD110" s="54"/>
      <c r="AE110" s="54"/>
      <c r="AF110" s="52"/>
      <c r="AG110" s="53"/>
      <c r="AH110" s="4"/>
    </row>
    <row r="111" spans="1:34" ht="120" customHeight="1" x14ac:dyDescent="0.25">
      <c r="B111" s="173" t="s">
        <v>1</v>
      </c>
      <c r="C111" s="175" t="s">
        <v>56</v>
      </c>
      <c r="D111" s="167" t="s">
        <v>3</v>
      </c>
      <c r="E111" s="167" t="s">
        <v>4</v>
      </c>
      <c r="F111" s="167" t="s">
        <v>5</v>
      </c>
      <c r="G111" s="167" t="s">
        <v>6</v>
      </c>
      <c r="H111" s="167" t="s">
        <v>7</v>
      </c>
      <c r="I111" s="167" t="s">
        <v>8</v>
      </c>
      <c r="J111" s="167" t="s">
        <v>9</v>
      </c>
      <c r="K111" s="167" t="s">
        <v>57</v>
      </c>
      <c r="L111" s="23" t="s">
        <v>10</v>
      </c>
      <c r="M111" s="23" t="s">
        <v>10</v>
      </c>
      <c r="N111" s="23" t="s">
        <v>12</v>
      </c>
      <c r="O111" s="169" t="s">
        <v>13</v>
      </c>
      <c r="P111" s="170"/>
      <c r="Q111" s="171"/>
      <c r="R111" s="167" t="s">
        <v>14</v>
      </c>
      <c r="S111" s="183" t="s">
        <v>58</v>
      </c>
      <c r="T111" s="184"/>
      <c r="U111" s="184"/>
      <c r="V111" s="185"/>
      <c r="W111" s="165" t="s">
        <v>21</v>
      </c>
      <c r="X111" s="167" t="s">
        <v>9</v>
      </c>
      <c r="Y111" s="23" t="s">
        <v>245</v>
      </c>
      <c r="Z111" s="23" t="s">
        <v>246</v>
      </c>
      <c r="AA111" s="23" t="s">
        <v>157</v>
      </c>
      <c r="AB111" s="165" t="s">
        <v>59</v>
      </c>
      <c r="AC111" s="186" t="s">
        <v>18</v>
      </c>
      <c r="AD111" s="187"/>
      <c r="AE111" s="187"/>
      <c r="AF111" s="187"/>
      <c r="AG111" s="163" t="s">
        <v>19</v>
      </c>
      <c r="AH111" s="4"/>
    </row>
    <row r="112" spans="1:34" ht="51" x14ac:dyDescent="0.25">
      <c r="B112" s="174"/>
      <c r="C112" s="176"/>
      <c r="D112" s="168"/>
      <c r="E112" s="168"/>
      <c r="F112" s="168"/>
      <c r="G112" s="168"/>
      <c r="H112" s="168"/>
      <c r="I112" s="168"/>
      <c r="J112" s="168"/>
      <c r="K112" s="168"/>
      <c r="L112" s="23">
        <v>5.6</v>
      </c>
      <c r="M112" s="23">
        <v>5.6</v>
      </c>
      <c r="N112" s="23">
        <v>0.7</v>
      </c>
      <c r="O112" s="24">
        <v>0.8</v>
      </c>
      <c r="P112" s="25">
        <v>0.9</v>
      </c>
      <c r="Q112" s="29">
        <v>1</v>
      </c>
      <c r="R112" s="168"/>
      <c r="S112" s="30">
        <v>0.1</v>
      </c>
      <c r="T112" s="31">
        <v>0.2</v>
      </c>
      <c r="U112" s="31">
        <v>0.3</v>
      </c>
      <c r="V112" s="31">
        <v>0.1</v>
      </c>
      <c r="W112" s="166"/>
      <c r="X112" s="168"/>
      <c r="Y112" s="23">
        <v>10.4</v>
      </c>
      <c r="Z112" s="23">
        <v>5.6</v>
      </c>
      <c r="AA112" s="23"/>
      <c r="AB112" s="166"/>
      <c r="AC112" s="34" t="s">
        <v>20</v>
      </c>
      <c r="AD112" s="34" t="s">
        <v>21</v>
      </c>
      <c r="AE112" s="34" t="s">
        <v>22</v>
      </c>
      <c r="AF112" s="34" t="s">
        <v>23</v>
      </c>
      <c r="AG112" s="164"/>
      <c r="AH112" s="4"/>
    </row>
    <row r="113" spans="1:34" x14ac:dyDescent="0.25">
      <c r="B113" s="8"/>
      <c r="C113" s="9"/>
      <c r="D113" s="10">
        <v>0</v>
      </c>
      <c r="E113" s="10">
        <v>1</v>
      </c>
      <c r="F113" s="10">
        <v>2</v>
      </c>
      <c r="G113" s="10" t="s">
        <v>24</v>
      </c>
      <c r="H113" s="10" t="s">
        <v>25</v>
      </c>
      <c r="I113" s="10" t="s">
        <v>26</v>
      </c>
      <c r="J113" s="10" t="s">
        <v>27</v>
      </c>
      <c r="K113" s="26" t="s">
        <v>60</v>
      </c>
      <c r="L113" s="10" t="s">
        <v>61</v>
      </c>
      <c r="M113" s="10" t="s">
        <v>61</v>
      </c>
      <c r="N113" s="10" t="s">
        <v>62</v>
      </c>
      <c r="O113" s="10" t="s">
        <v>63</v>
      </c>
      <c r="P113" s="10" t="s">
        <v>63</v>
      </c>
      <c r="Q113" s="10" t="s">
        <v>63</v>
      </c>
      <c r="R113" s="10">
        <v>9</v>
      </c>
      <c r="S113" s="32" t="s">
        <v>163</v>
      </c>
      <c r="T113" s="32" t="s">
        <v>164</v>
      </c>
      <c r="U113" s="32" t="s">
        <v>165</v>
      </c>
      <c r="V113" s="32" t="s">
        <v>166</v>
      </c>
      <c r="W113" s="32" t="s">
        <v>64</v>
      </c>
      <c r="X113" s="10" t="s">
        <v>65</v>
      </c>
      <c r="Y113" s="10" t="s">
        <v>66</v>
      </c>
      <c r="Z113" s="10" t="s">
        <v>67</v>
      </c>
      <c r="AA113" s="10" t="s">
        <v>158</v>
      </c>
      <c r="AB113" s="10" t="s">
        <v>243</v>
      </c>
      <c r="AC113" s="10">
        <v>16</v>
      </c>
      <c r="AD113" s="32" t="s">
        <v>159</v>
      </c>
      <c r="AE113" s="32" t="s">
        <v>160</v>
      </c>
      <c r="AF113" s="32" t="s">
        <v>161</v>
      </c>
      <c r="AG113" s="10">
        <v>17</v>
      </c>
      <c r="AH113" s="4"/>
    </row>
    <row r="114" spans="1:34" ht="15" x14ac:dyDescent="0.25">
      <c r="A114" s="1" t="s">
        <v>202</v>
      </c>
      <c r="B114" s="8">
        <v>1</v>
      </c>
      <c r="C114" s="20" t="s">
        <v>102</v>
      </c>
      <c r="D114" s="12">
        <v>2</v>
      </c>
      <c r="E114" s="19">
        <v>98.59</v>
      </c>
      <c r="F114" s="15">
        <f t="shared" ref="F114:F119" si="41">+E114*952.363958</f>
        <v>93893.56261922</v>
      </c>
      <c r="G114" s="15">
        <f t="shared" ref="G114:G119" si="42">+F114/60</f>
        <v>1564.8927103203334</v>
      </c>
      <c r="H114" s="15">
        <f t="shared" ref="H114:H116" si="43">+F114*1.5%</f>
        <v>1408.4034392883</v>
      </c>
      <c r="I114" s="15">
        <f t="shared" ref="I114:I119" si="44">+F114*0.5%</f>
        <v>469.46781309610003</v>
      </c>
      <c r="J114" s="15">
        <f t="shared" ref="J114:J118" si="45">+G114+H114+I114</f>
        <v>3442.7639627047338</v>
      </c>
      <c r="K114" s="15">
        <f t="shared" ref="K114:K119" si="46">+J114/12</f>
        <v>286.89699689206117</v>
      </c>
      <c r="L114" s="15"/>
      <c r="M114" s="15">
        <f t="shared" ref="M114:M119" si="47">+J114*(100%+5.6%)</f>
        <v>3635.558744616199</v>
      </c>
      <c r="N114" s="15">
        <f>+K114*N112</f>
        <v>200.8278978244428</v>
      </c>
      <c r="O114" s="15">
        <f>+N114*O112</f>
        <v>160.66231825955424</v>
      </c>
      <c r="P114" s="15">
        <f>+N114*P112</f>
        <v>180.74510804199852</v>
      </c>
      <c r="Q114" s="15">
        <f>+N114*Q112</f>
        <v>200.8278978244428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40"/>
      <c r="AB114" s="15"/>
      <c r="AC114" s="15">
        <v>286.89999999999998</v>
      </c>
      <c r="AD114" s="15"/>
      <c r="AE114" s="15">
        <f>G114/12</f>
        <v>130.4077258600278</v>
      </c>
      <c r="AF114" s="35">
        <f>AE114/AC114*100</f>
        <v>45.454069661912797</v>
      </c>
      <c r="AG114" s="36"/>
      <c r="AH114" s="4"/>
    </row>
    <row r="115" spans="1:34" ht="15" x14ac:dyDescent="0.25">
      <c r="A115" s="1" t="s">
        <v>203</v>
      </c>
      <c r="B115" s="8">
        <v>2</v>
      </c>
      <c r="C115" s="20" t="s">
        <v>103</v>
      </c>
      <c r="D115" s="12">
        <v>2</v>
      </c>
      <c r="E115" s="19">
        <v>98.23</v>
      </c>
      <c r="F115" s="15">
        <f t="shared" si="41"/>
        <v>93550.711594340013</v>
      </c>
      <c r="G115" s="15">
        <f t="shared" si="42"/>
        <v>1559.1785265723336</v>
      </c>
      <c r="H115" s="15">
        <f t="shared" si="43"/>
        <v>1403.2606739151001</v>
      </c>
      <c r="I115" s="15">
        <f t="shared" si="44"/>
        <v>467.75355797170005</v>
      </c>
      <c r="J115" s="15">
        <f t="shared" si="45"/>
        <v>3430.1927584591335</v>
      </c>
      <c r="K115" s="15">
        <f t="shared" si="46"/>
        <v>285.84939653826115</v>
      </c>
      <c r="L115" s="15"/>
      <c r="M115" s="15">
        <f t="shared" si="47"/>
        <v>3622.2835529328454</v>
      </c>
      <c r="N115" s="15">
        <v>200.1</v>
      </c>
      <c r="O115" s="15">
        <f>+N115*O112</f>
        <v>160.08000000000001</v>
      </c>
      <c r="P115" s="15">
        <f>+N115*P112</f>
        <v>180.09</v>
      </c>
      <c r="Q115" s="15">
        <f>+N115*Q112</f>
        <v>200.1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40"/>
      <c r="AB115" s="15"/>
      <c r="AC115" s="15">
        <v>285.85000000000002</v>
      </c>
      <c r="AD115" s="15"/>
      <c r="AE115" s="40">
        <f t="shared" ref="AE115:AE119" si="48">G115/12</f>
        <v>129.93154388102781</v>
      </c>
      <c r="AF115" s="50">
        <f t="shared" ref="AF115:AF118" si="49">AE115/AC115*100</f>
        <v>45.454449494849676</v>
      </c>
      <c r="AG115" s="36"/>
      <c r="AH115" s="4"/>
    </row>
    <row r="116" spans="1:34" ht="15" x14ac:dyDescent="0.25">
      <c r="A116" s="1" t="s">
        <v>180</v>
      </c>
      <c r="B116" s="8">
        <v>3</v>
      </c>
      <c r="C116" s="20" t="s">
        <v>104</v>
      </c>
      <c r="D116" s="12">
        <v>2</v>
      </c>
      <c r="E116" s="19">
        <v>98.73</v>
      </c>
      <c r="F116" s="15">
        <f t="shared" si="41"/>
        <v>94026.893573339999</v>
      </c>
      <c r="G116" s="15">
        <f t="shared" si="42"/>
        <v>1567.114892889</v>
      </c>
      <c r="H116" s="15">
        <f t="shared" si="43"/>
        <v>1410.4034036000999</v>
      </c>
      <c r="I116" s="15">
        <f t="shared" si="44"/>
        <v>470.13446786669999</v>
      </c>
      <c r="J116" s="15">
        <v>3447.64</v>
      </c>
      <c r="K116" s="15">
        <f t="shared" si="46"/>
        <v>287.30333333333334</v>
      </c>
      <c r="L116" s="15"/>
      <c r="M116" s="15">
        <f t="shared" si="47"/>
        <v>3640.70784</v>
      </c>
      <c r="N116" s="15">
        <f>+K116*N112</f>
        <v>201.11233333333334</v>
      </c>
      <c r="O116" s="15">
        <f>+N116*O112</f>
        <v>160.88986666666668</v>
      </c>
      <c r="P116" s="15">
        <f>+N116*P112</f>
        <v>181.00110000000001</v>
      </c>
      <c r="Q116" s="15">
        <f>+N116*Q112</f>
        <v>201.11233333333334</v>
      </c>
      <c r="R116" s="15">
        <v>2056.06</v>
      </c>
      <c r="S116" s="15">
        <f>R116*S112</f>
        <v>205.60599999999999</v>
      </c>
      <c r="T116" s="15">
        <v>0</v>
      </c>
      <c r="U116" s="15">
        <v>0</v>
      </c>
      <c r="V116" s="15">
        <v>0</v>
      </c>
      <c r="W116" s="15">
        <v>160.88999999999999</v>
      </c>
      <c r="X116" s="15">
        <v>1930.68</v>
      </c>
      <c r="Y116" s="15">
        <v>1957.71</v>
      </c>
      <c r="Z116" s="15">
        <v>2067.34</v>
      </c>
      <c r="AA116" s="40"/>
      <c r="AB116" s="15">
        <f>AA116/12</f>
        <v>0</v>
      </c>
      <c r="AC116" s="15">
        <f>K116</f>
        <v>287.30333333333334</v>
      </c>
      <c r="AD116" s="15">
        <v>160.88999999999999</v>
      </c>
      <c r="AE116" s="40">
        <f t="shared" si="48"/>
        <v>130.59290774075001</v>
      </c>
      <c r="AF116" s="50">
        <f t="shared" si="49"/>
        <v>45.45471374299521</v>
      </c>
      <c r="AG116" s="36">
        <f>AD116*AF116%</f>
        <v>73.132088941104996</v>
      </c>
      <c r="AH116" s="4"/>
    </row>
    <row r="117" spans="1:34" ht="15" x14ac:dyDescent="0.25">
      <c r="A117" s="1" t="s">
        <v>204</v>
      </c>
      <c r="B117" s="8">
        <v>4</v>
      </c>
      <c r="C117" s="20" t="s">
        <v>105</v>
      </c>
      <c r="D117" s="12">
        <v>2</v>
      </c>
      <c r="E117" s="19">
        <v>99.79</v>
      </c>
      <c r="F117" s="15">
        <f t="shared" si="41"/>
        <v>95036.399368820013</v>
      </c>
      <c r="G117" s="15">
        <v>1583.93</v>
      </c>
      <c r="H117" s="15">
        <v>1425.54</v>
      </c>
      <c r="I117" s="15">
        <f t="shared" si="44"/>
        <v>475.18199684410007</v>
      </c>
      <c r="J117" s="15">
        <f t="shared" si="45"/>
        <v>3484.6519968441003</v>
      </c>
      <c r="K117" s="15">
        <f t="shared" si="46"/>
        <v>290.38766640367504</v>
      </c>
      <c r="L117" s="15"/>
      <c r="M117" s="15">
        <f t="shared" si="47"/>
        <v>3679.7925086673699</v>
      </c>
      <c r="N117" s="15">
        <f>+K117*N112</f>
        <v>203.27136648257252</v>
      </c>
      <c r="O117" s="15">
        <f>+N117*O112</f>
        <v>162.61709318605801</v>
      </c>
      <c r="P117" s="15">
        <f>+N117*P112</f>
        <v>182.94422983431528</v>
      </c>
      <c r="Q117" s="15">
        <f>+N117*Q112</f>
        <v>203.27136648257252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40"/>
      <c r="AB117" s="40"/>
      <c r="AC117" s="15">
        <v>290.39</v>
      </c>
      <c r="AD117" s="15"/>
      <c r="AE117" s="40">
        <f t="shared" si="48"/>
        <v>131.99416666666667</v>
      </c>
      <c r="AF117" s="50">
        <f t="shared" si="49"/>
        <v>45.454101954842344</v>
      </c>
      <c r="AG117" s="36"/>
      <c r="AH117" s="4"/>
    </row>
    <row r="118" spans="1:34" ht="15" x14ac:dyDescent="0.25">
      <c r="A118" s="1" t="s">
        <v>205</v>
      </c>
      <c r="B118" s="8">
        <v>5</v>
      </c>
      <c r="C118" s="20" t="s">
        <v>106</v>
      </c>
      <c r="D118" s="12">
        <v>2</v>
      </c>
      <c r="E118" s="19">
        <v>97.8</v>
      </c>
      <c r="F118" s="15">
        <f t="shared" si="41"/>
        <v>93141.195092399998</v>
      </c>
      <c r="G118" s="15">
        <f t="shared" si="42"/>
        <v>1552.35325154</v>
      </c>
      <c r="H118" s="15">
        <v>1397.11</v>
      </c>
      <c r="I118" s="15">
        <v>465.7</v>
      </c>
      <c r="J118" s="15">
        <f t="shared" si="45"/>
        <v>3415.1632515399997</v>
      </c>
      <c r="K118" s="15">
        <f t="shared" si="46"/>
        <v>284.59693762833331</v>
      </c>
      <c r="L118" s="15"/>
      <c r="M118" s="15">
        <f t="shared" si="47"/>
        <v>3606.4123936262399</v>
      </c>
      <c r="N118" s="15">
        <f>+K118*N112</f>
        <v>199.2178563398333</v>
      </c>
      <c r="O118" s="15">
        <v>159.38</v>
      </c>
      <c r="P118" s="15">
        <f>+N118*P112</f>
        <v>179.29607070584998</v>
      </c>
      <c r="Q118" s="15">
        <f>+N118*Q112</f>
        <v>199.2178563398333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40"/>
      <c r="AB118" s="40"/>
      <c r="AC118" s="15">
        <v>284.60000000000002</v>
      </c>
      <c r="AD118" s="15"/>
      <c r="AE118" s="40">
        <f t="shared" si="48"/>
        <v>129.36277096166666</v>
      </c>
      <c r="AF118" s="50">
        <f t="shared" si="49"/>
        <v>45.454241377957359</v>
      </c>
      <c r="AG118" s="36"/>
      <c r="AH118" s="4"/>
    </row>
    <row r="119" spans="1:34" ht="15" x14ac:dyDescent="0.25">
      <c r="A119" s="1" t="s">
        <v>206</v>
      </c>
      <c r="B119" s="8">
        <v>6</v>
      </c>
      <c r="C119" s="20" t="s">
        <v>107</v>
      </c>
      <c r="D119" s="12">
        <v>2</v>
      </c>
      <c r="E119" s="19">
        <v>99.07</v>
      </c>
      <c r="F119" s="15">
        <f t="shared" si="41"/>
        <v>94350.697319059997</v>
      </c>
      <c r="G119" s="15">
        <f t="shared" si="42"/>
        <v>1572.5116219843333</v>
      </c>
      <c r="H119" s="15">
        <v>1415.25</v>
      </c>
      <c r="I119" s="15">
        <f t="shared" si="44"/>
        <v>471.75348659529999</v>
      </c>
      <c r="J119" s="15">
        <v>3459.51</v>
      </c>
      <c r="K119" s="15">
        <f t="shared" si="46"/>
        <v>288.29250000000002</v>
      </c>
      <c r="L119" s="15"/>
      <c r="M119" s="15">
        <f t="shared" si="47"/>
        <v>3653.2425600000006</v>
      </c>
      <c r="N119" s="15">
        <f>+K119*N112</f>
        <v>201.80475000000001</v>
      </c>
      <c r="O119" s="15">
        <f>+N119*O112</f>
        <v>161.44380000000001</v>
      </c>
      <c r="P119" s="15">
        <f>+N119*P112</f>
        <v>181.62427500000001</v>
      </c>
      <c r="Q119" s="15">
        <f>+N119*Q112</f>
        <v>201.80475000000001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40"/>
      <c r="AB119" s="40"/>
      <c r="AC119" s="15">
        <v>288.29000000000002</v>
      </c>
      <c r="AD119" s="15"/>
      <c r="AE119" s="40">
        <f t="shared" si="48"/>
        <v>131.04263516536111</v>
      </c>
      <c r="AF119" s="50">
        <v>45.45</v>
      </c>
      <c r="AG119" s="36"/>
      <c r="AH119" s="4"/>
    </row>
    <row r="120" spans="1:34" x14ac:dyDescent="0.25">
      <c r="B120" s="8"/>
      <c r="C120" s="177" t="s">
        <v>77</v>
      </c>
      <c r="D120" s="177"/>
      <c r="E120" s="16">
        <f>SUM(E114:E119)</f>
        <v>592.21</v>
      </c>
      <c r="F120" s="16">
        <f>SUM(F114:F119)</f>
        <v>563999.45956718002</v>
      </c>
      <c r="G120" s="16">
        <f>SUM(G114:G119)-0.01</f>
        <v>9399.9710033060001</v>
      </c>
      <c r="H120" s="16">
        <f>SUM(H114:H119)-0.01</f>
        <v>8459.9575168034989</v>
      </c>
      <c r="I120" s="63">
        <f>SUM(I114:I119)-0.01</f>
        <v>2819.9813223738997</v>
      </c>
      <c r="J120" s="16">
        <f>SUM(J114:J119)-0.01</f>
        <v>20679.911969547971</v>
      </c>
      <c r="K120" s="16">
        <f>SUM(K114:K119)</f>
        <v>1723.3268307956639</v>
      </c>
      <c r="L120" s="16"/>
      <c r="M120" s="16">
        <f>SUM(M114:M119)</f>
        <v>21837.997599842653</v>
      </c>
      <c r="N120" s="16">
        <f>SUM(N114:N119)</f>
        <v>1206.3342039801819</v>
      </c>
      <c r="O120" s="16">
        <f>SUM(O114:O119)</f>
        <v>965.07307811227895</v>
      </c>
      <c r="P120" s="16">
        <f>SUM(P114:P119)</f>
        <v>1085.7007835821637</v>
      </c>
      <c r="Q120" s="16">
        <f>SUM(Q114:Q119)</f>
        <v>1206.3342039801819</v>
      </c>
      <c r="R120" s="16"/>
      <c r="S120" s="16">
        <f>SUM(S114:S119)</f>
        <v>205.60599999999999</v>
      </c>
      <c r="T120" s="16">
        <f t="shared" ref="T120:AG120" si="50">SUM(T114:T119)</f>
        <v>0</v>
      </c>
      <c r="U120" s="16">
        <f t="shared" si="50"/>
        <v>0</v>
      </c>
      <c r="V120" s="16">
        <f t="shared" si="50"/>
        <v>0</v>
      </c>
      <c r="W120" s="16">
        <f t="shared" si="50"/>
        <v>160.88999999999999</v>
      </c>
      <c r="X120" s="16">
        <f t="shared" si="50"/>
        <v>1930.68</v>
      </c>
      <c r="Y120" s="16">
        <f t="shared" si="50"/>
        <v>1957.71</v>
      </c>
      <c r="Z120" s="16">
        <f t="shared" si="50"/>
        <v>2067.34</v>
      </c>
      <c r="AA120" s="16">
        <f t="shared" si="50"/>
        <v>0</v>
      </c>
      <c r="AB120" s="16">
        <f t="shared" si="50"/>
        <v>0</v>
      </c>
      <c r="AC120" s="16">
        <f t="shared" si="50"/>
        <v>1723.333333333333</v>
      </c>
      <c r="AD120" s="16">
        <f t="shared" si="50"/>
        <v>160.88999999999999</v>
      </c>
      <c r="AE120" s="16">
        <f t="shared" si="50"/>
        <v>783.3317502755001</v>
      </c>
      <c r="AF120" s="16">
        <v>272.7</v>
      </c>
      <c r="AG120" s="16">
        <f t="shared" si="50"/>
        <v>73.132088941104996</v>
      </c>
      <c r="AH120" s="4"/>
    </row>
    <row r="121" spans="1:34" x14ac:dyDescent="0.25">
      <c r="B121" s="4"/>
      <c r="C121" s="56"/>
      <c r="D121" s="56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"/>
    </row>
    <row r="122" spans="1:34" ht="18.95" customHeight="1" x14ac:dyDescent="0.25">
      <c r="B122" s="4"/>
      <c r="C122" s="181" t="s">
        <v>108</v>
      </c>
      <c r="D122" s="181"/>
      <c r="E122" s="181"/>
      <c r="F122" s="181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64"/>
      <c r="X122" s="2"/>
      <c r="Y122" s="2"/>
      <c r="Z122" s="2"/>
      <c r="AA122" s="2"/>
      <c r="AB122" s="2"/>
      <c r="AC122" s="2"/>
      <c r="AD122" s="54"/>
      <c r="AE122" s="54"/>
      <c r="AF122" s="54"/>
      <c r="AG122" s="67"/>
      <c r="AH122" s="4"/>
    </row>
    <row r="123" spans="1:34" ht="12.95" customHeight="1" x14ac:dyDescent="0.25">
      <c r="B123" s="4"/>
      <c r="C123" s="57"/>
      <c r="D123" s="57"/>
      <c r="E123" s="45"/>
      <c r="F123" s="45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2"/>
      <c r="Y123" s="2"/>
      <c r="Z123" s="2"/>
      <c r="AA123" s="2"/>
      <c r="AB123" s="2"/>
      <c r="AC123" s="2"/>
      <c r="AD123" s="54"/>
      <c r="AE123" s="54"/>
      <c r="AF123" s="54"/>
      <c r="AG123" s="68"/>
      <c r="AH123" s="4"/>
    </row>
    <row r="124" spans="1:34" ht="17.100000000000001" customHeight="1" x14ac:dyDescent="0.25">
      <c r="B124" s="4"/>
      <c r="C124" s="182" t="s">
        <v>0</v>
      </c>
      <c r="D124" s="182"/>
      <c r="E124" s="45"/>
      <c r="F124" s="45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2"/>
      <c r="Y124" s="2"/>
      <c r="Z124" s="2"/>
      <c r="AA124" s="2"/>
      <c r="AB124" s="2"/>
      <c r="AC124" s="2"/>
      <c r="AD124" s="54"/>
      <c r="AE124" s="54"/>
      <c r="AF124" s="54"/>
      <c r="AG124" s="68"/>
      <c r="AH124" s="4"/>
    </row>
    <row r="125" spans="1:34" ht="105" customHeight="1" x14ac:dyDescent="0.25">
      <c r="B125" s="173" t="s">
        <v>1</v>
      </c>
      <c r="C125" s="175" t="s">
        <v>56</v>
      </c>
      <c r="D125" s="167" t="s">
        <v>3</v>
      </c>
      <c r="E125" s="167" t="s">
        <v>4</v>
      </c>
      <c r="F125" s="167" t="s">
        <v>5</v>
      </c>
      <c r="G125" s="167" t="s">
        <v>6</v>
      </c>
      <c r="H125" s="167" t="s">
        <v>7</v>
      </c>
      <c r="I125" s="167" t="s">
        <v>8</v>
      </c>
      <c r="J125" s="167" t="s">
        <v>9</v>
      </c>
      <c r="K125" s="167" t="s">
        <v>57</v>
      </c>
      <c r="L125" s="23" t="s">
        <v>10</v>
      </c>
      <c r="M125" s="23" t="s">
        <v>10</v>
      </c>
      <c r="N125" s="23" t="s">
        <v>12</v>
      </c>
      <c r="O125" s="169" t="s">
        <v>13</v>
      </c>
      <c r="P125" s="170"/>
      <c r="Q125" s="171"/>
      <c r="R125" s="167" t="s">
        <v>14</v>
      </c>
      <c r="S125" s="183" t="s">
        <v>58</v>
      </c>
      <c r="T125" s="184"/>
      <c r="U125" s="184"/>
      <c r="V125" s="185"/>
      <c r="W125" s="165" t="s">
        <v>21</v>
      </c>
      <c r="X125" s="167" t="s">
        <v>9</v>
      </c>
      <c r="Y125" s="23" t="s">
        <v>245</v>
      </c>
      <c r="Z125" s="23" t="s">
        <v>246</v>
      </c>
      <c r="AA125" s="23" t="s">
        <v>157</v>
      </c>
      <c r="AB125" s="165" t="s">
        <v>59</v>
      </c>
      <c r="AC125" s="186" t="s">
        <v>18</v>
      </c>
      <c r="AD125" s="187"/>
      <c r="AE125" s="187"/>
      <c r="AF125" s="187"/>
      <c r="AG125" s="163" t="s">
        <v>19</v>
      </c>
      <c r="AH125" s="4"/>
    </row>
    <row r="126" spans="1:34" ht="51" x14ac:dyDescent="0.25">
      <c r="B126" s="174"/>
      <c r="C126" s="176"/>
      <c r="D126" s="168"/>
      <c r="E126" s="168"/>
      <c r="F126" s="168"/>
      <c r="G126" s="168"/>
      <c r="H126" s="168"/>
      <c r="I126" s="168"/>
      <c r="J126" s="168"/>
      <c r="K126" s="168"/>
      <c r="L126" s="23">
        <v>5.6</v>
      </c>
      <c r="M126" s="23">
        <v>5.6</v>
      </c>
      <c r="N126" s="23">
        <v>0.7</v>
      </c>
      <c r="O126" s="24">
        <v>0.8</v>
      </c>
      <c r="P126" s="25">
        <v>0.9</v>
      </c>
      <c r="Q126" s="29">
        <v>1</v>
      </c>
      <c r="R126" s="168"/>
      <c r="S126" s="30">
        <v>0.1</v>
      </c>
      <c r="T126" s="31">
        <v>0.2</v>
      </c>
      <c r="U126" s="31">
        <v>0.3</v>
      </c>
      <c r="V126" s="31">
        <v>0.1</v>
      </c>
      <c r="W126" s="166"/>
      <c r="X126" s="168"/>
      <c r="Y126" s="23">
        <v>10.4</v>
      </c>
      <c r="Z126" s="23">
        <v>5.6</v>
      </c>
      <c r="AA126" s="23"/>
      <c r="AB126" s="166"/>
      <c r="AC126" s="34" t="s">
        <v>20</v>
      </c>
      <c r="AD126" s="34" t="s">
        <v>21</v>
      </c>
      <c r="AE126" s="34" t="s">
        <v>22</v>
      </c>
      <c r="AF126" s="34" t="s">
        <v>23</v>
      </c>
      <c r="AG126" s="164"/>
      <c r="AH126" s="4"/>
    </row>
    <row r="127" spans="1:34" x14ac:dyDescent="0.25">
      <c r="B127" s="8"/>
      <c r="C127" s="9"/>
      <c r="D127" s="10">
        <v>0</v>
      </c>
      <c r="E127" s="10">
        <v>1</v>
      </c>
      <c r="F127" s="10">
        <v>2</v>
      </c>
      <c r="G127" s="10" t="s">
        <v>24</v>
      </c>
      <c r="H127" s="10" t="s">
        <v>25</v>
      </c>
      <c r="I127" s="10" t="s">
        <v>26</v>
      </c>
      <c r="J127" s="10" t="s">
        <v>27</v>
      </c>
      <c r="K127" s="26" t="s">
        <v>60</v>
      </c>
      <c r="L127" s="10" t="s">
        <v>61</v>
      </c>
      <c r="M127" s="10" t="s">
        <v>61</v>
      </c>
      <c r="N127" s="10" t="s">
        <v>62</v>
      </c>
      <c r="O127" s="10" t="s">
        <v>63</v>
      </c>
      <c r="P127" s="10" t="s">
        <v>63</v>
      </c>
      <c r="Q127" s="10" t="s">
        <v>63</v>
      </c>
      <c r="R127" s="10">
        <v>9</v>
      </c>
      <c r="S127" s="32" t="s">
        <v>163</v>
      </c>
      <c r="T127" s="32" t="s">
        <v>164</v>
      </c>
      <c r="U127" s="32" t="s">
        <v>165</v>
      </c>
      <c r="V127" s="32" t="s">
        <v>166</v>
      </c>
      <c r="W127" s="32" t="s">
        <v>64</v>
      </c>
      <c r="X127" s="10" t="s">
        <v>65</v>
      </c>
      <c r="Y127" s="10" t="s">
        <v>66</v>
      </c>
      <c r="Z127" s="10" t="s">
        <v>67</v>
      </c>
      <c r="AA127" s="10" t="s">
        <v>158</v>
      </c>
      <c r="AB127" s="10" t="s">
        <v>243</v>
      </c>
      <c r="AC127" s="10">
        <v>16</v>
      </c>
      <c r="AD127" s="32" t="s">
        <v>159</v>
      </c>
      <c r="AE127" s="32" t="s">
        <v>160</v>
      </c>
      <c r="AF127" s="32" t="s">
        <v>161</v>
      </c>
      <c r="AG127" s="10">
        <v>17</v>
      </c>
      <c r="AH127" s="4"/>
    </row>
    <row r="128" spans="1:34" ht="15" x14ac:dyDescent="0.25">
      <c r="A128" s="1" t="s">
        <v>207</v>
      </c>
      <c r="B128" s="8">
        <v>1</v>
      </c>
      <c r="C128" s="20" t="s">
        <v>109</v>
      </c>
      <c r="D128" s="132">
        <v>2</v>
      </c>
      <c r="E128" s="14">
        <v>98.2</v>
      </c>
      <c r="F128" s="15">
        <f>+E128*1157.17</f>
        <v>113634.09400000001</v>
      </c>
      <c r="G128" s="15">
        <f>+F128/60</f>
        <v>1893.9015666666669</v>
      </c>
      <c r="H128" s="15">
        <f>+F128*1.5%</f>
        <v>1704.5114100000001</v>
      </c>
      <c r="I128" s="15">
        <v>0</v>
      </c>
      <c r="J128" s="15">
        <f>+G128+H128+I128</f>
        <v>3598.412976666667</v>
      </c>
      <c r="K128" s="15">
        <f>+J128/12</f>
        <v>299.86774805555558</v>
      </c>
      <c r="L128" s="15"/>
      <c r="M128" s="15">
        <f>+J128*(100%+5.6%)</f>
        <v>3799.9241033600006</v>
      </c>
      <c r="N128" s="15">
        <f>+K128*N126</f>
        <v>209.9074236388889</v>
      </c>
      <c r="O128" s="15">
        <f>+N128*O126</f>
        <v>167.92593891111113</v>
      </c>
      <c r="P128" s="15">
        <f>+N128*P126</f>
        <v>188.916681275</v>
      </c>
      <c r="Q128" s="15">
        <f>+N128*Q126</f>
        <v>209.9074236388889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40"/>
      <c r="AB128" s="15"/>
      <c r="AC128" s="15"/>
      <c r="AD128" s="15"/>
      <c r="AE128" s="15"/>
      <c r="AF128" s="35"/>
      <c r="AG128" s="36"/>
      <c r="AH128" s="4"/>
    </row>
    <row r="129" spans="1:34" x14ac:dyDescent="0.25">
      <c r="B129" s="8"/>
      <c r="C129" s="177" t="s">
        <v>77</v>
      </c>
      <c r="D129" s="177"/>
      <c r="E129" s="16">
        <v>98.2</v>
      </c>
      <c r="F129" s="16">
        <f>SUM(F128:F128)</f>
        <v>113634.09400000001</v>
      </c>
      <c r="G129" s="16">
        <f>SUM(G128:G128)</f>
        <v>1893.9015666666669</v>
      </c>
      <c r="H129" s="16">
        <f>SUM(H128:H128)</f>
        <v>1704.5114100000001</v>
      </c>
      <c r="I129" s="16">
        <f>+I128</f>
        <v>0</v>
      </c>
      <c r="J129" s="16">
        <f>SUM(J128:J128)</f>
        <v>3598.412976666667</v>
      </c>
      <c r="K129" s="16">
        <f>+K128</f>
        <v>299.86774805555558</v>
      </c>
      <c r="L129" s="16"/>
      <c r="M129" s="16">
        <f>SUM(M128:M128)</f>
        <v>3799.9241033600006</v>
      </c>
      <c r="N129" s="16">
        <f>+N128</f>
        <v>209.9074236388889</v>
      </c>
      <c r="O129" s="16">
        <f>+O128</f>
        <v>167.92593891111113</v>
      </c>
      <c r="P129" s="16">
        <f>+P128</f>
        <v>188.916681275</v>
      </c>
      <c r="Q129" s="16">
        <f>+Q128</f>
        <v>209.9074236388889</v>
      </c>
      <c r="R129" s="16"/>
      <c r="S129" s="16">
        <f>SUM(S128)</f>
        <v>0</v>
      </c>
      <c r="T129" s="16">
        <f t="shared" ref="T129:AG129" si="51">SUM(T128)</f>
        <v>0</v>
      </c>
      <c r="U129" s="16">
        <f t="shared" si="51"/>
        <v>0</v>
      </c>
      <c r="V129" s="16">
        <f t="shared" si="51"/>
        <v>0</v>
      </c>
      <c r="W129" s="16">
        <f t="shared" si="51"/>
        <v>0</v>
      </c>
      <c r="X129" s="16">
        <f t="shared" si="51"/>
        <v>0</v>
      </c>
      <c r="Y129" s="16">
        <f t="shared" si="51"/>
        <v>0</v>
      </c>
      <c r="Z129" s="16">
        <f t="shared" si="51"/>
        <v>0</v>
      </c>
      <c r="AA129" s="16">
        <f t="shared" si="51"/>
        <v>0</v>
      </c>
      <c r="AB129" s="16">
        <f t="shared" si="51"/>
        <v>0</v>
      </c>
      <c r="AC129" s="16">
        <f t="shared" si="51"/>
        <v>0</v>
      </c>
      <c r="AD129" s="16">
        <f t="shared" si="51"/>
        <v>0</v>
      </c>
      <c r="AE129" s="16">
        <f t="shared" si="51"/>
        <v>0</v>
      </c>
      <c r="AF129" s="16">
        <f t="shared" si="51"/>
        <v>0</v>
      </c>
      <c r="AG129" s="16">
        <f t="shared" si="51"/>
        <v>0</v>
      </c>
      <c r="AH129" s="4"/>
    </row>
    <row r="130" spans="1:34" x14ac:dyDescent="0.25">
      <c r="B130" s="4"/>
      <c r="C130" s="56"/>
      <c r="D130" s="56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"/>
    </row>
    <row r="131" spans="1:34" ht="12.95" customHeight="1" x14ac:dyDescent="0.25">
      <c r="B131" s="4"/>
      <c r="C131" s="181"/>
      <c r="D131" s="181"/>
      <c r="E131" s="181"/>
      <c r="F131" s="181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"/>
    </row>
    <row r="132" spans="1:34" ht="14.1" customHeight="1" x14ac:dyDescent="0.25">
      <c r="B132" s="4"/>
      <c r="C132" s="182" t="s">
        <v>101</v>
      </c>
      <c r="D132" s="182"/>
      <c r="E132" s="45"/>
      <c r="F132" s="45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"/>
    </row>
    <row r="133" spans="1:34" x14ac:dyDescent="0.25">
      <c r="B133" s="4"/>
      <c r="C133" s="4"/>
      <c r="D133" s="4"/>
      <c r="E133" s="4"/>
      <c r="F133" s="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"/>
    </row>
    <row r="134" spans="1:34" ht="108.95" customHeight="1" x14ac:dyDescent="0.25">
      <c r="B134" s="173" t="s">
        <v>1</v>
      </c>
      <c r="C134" s="175" t="s">
        <v>56</v>
      </c>
      <c r="D134" s="167" t="s">
        <v>3</v>
      </c>
      <c r="E134" s="167" t="s">
        <v>4</v>
      </c>
      <c r="F134" s="167" t="s">
        <v>5</v>
      </c>
      <c r="G134" s="167" t="s">
        <v>6</v>
      </c>
      <c r="H134" s="167" t="s">
        <v>7</v>
      </c>
      <c r="I134" s="167" t="s">
        <v>8</v>
      </c>
      <c r="J134" s="167" t="s">
        <v>9</v>
      </c>
      <c r="K134" s="167" t="s">
        <v>57</v>
      </c>
      <c r="L134" s="23" t="s">
        <v>10</v>
      </c>
      <c r="M134" s="23" t="s">
        <v>10</v>
      </c>
      <c r="N134" s="23" t="s">
        <v>12</v>
      </c>
      <c r="O134" s="169" t="s">
        <v>13</v>
      </c>
      <c r="P134" s="170"/>
      <c r="Q134" s="171"/>
      <c r="R134" s="167" t="s">
        <v>14</v>
      </c>
      <c r="S134" s="183" t="s">
        <v>58</v>
      </c>
      <c r="T134" s="184"/>
      <c r="U134" s="184"/>
      <c r="V134" s="185"/>
      <c r="W134" s="165" t="s">
        <v>21</v>
      </c>
      <c r="X134" s="167" t="s">
        <v>9</v>
      </c>
      <c r="Y134" s="23" t="s">
        <v>245</v>
      </c>
      <c r="Z134" s="23" t="s">
        <v>246</v>
      </c>
      <c r="AA134" s="23" t="s">
        <v>157</v>
      </c>
      <c r="AB134" s="165" t="s">
        <v>59</v>
      </c>
      <c r="AC134" s="186" t="s">
        <v>18</v>
      </c>
      <c r="AD134" s="187"/>
      <c r="AE134" s="187"/>
      <c r="AF134" s="187"/>
      <c r="AG134" s="163" t="s">
        <v>19</v>
      </c>
      <c r="AH134" s="4"/>
    </row>
    <row r="135" spans="1:34" ht="51" x14ac:dyDescent="0.25">
      <c r="B135" s="174"/>
      <c r="C135" s="176"/>
      <c r="D135" s="168"/>
      <c r="E135" s="168"/>
      <c r="F135" s="168"/>
      <c r="G135" s="168"/>
      <c r="H135" s="168"/>
      <c r="I135" s="168"/>
      <c r="J135" s="168"/>
      <c r="K135" s="168"/>
      <c r="L135" s="23">
        <v>5.6</v>
      </c>
      <c r="M135" s="23">
        <v>5.6</v>
      </c>
      <c r="N135" s="23">
        <v>0.7</v>
      </c>
      <c r="O135" s="24">
        <v>0.8</v>
      </c>
      <c r="P135" s="25">
        <v>0.9</v>
      </c>
      <c r="Q135" s="29">
        <v>1</v>
      </c>
      <c r="R135" s="168"/>
      <c r="S135" s="30">
        <v>0.1</v>
      </c>
      <c r="T135" s="31">
        <v>0.2</v>
      </c>
      <c r="U135" s="31">
        <v>0.3</v>
      </c>
      <c r="V135" s="31">
        <v>0.1</v>
      </c>
      <c r="W135" s="166"/>
      <c r="X135" s="168"/>
      <c r="Y135" s="23">
        <v>10.4</v>
      </c>
      <c r="Z135" s="23">
        <v>5.6</v>
      </c>
      <c r="AA135" s="23"/>
      <c r="AB135" s="166"/>
      <c r="AC135" s="34" t="s">
        <v>20</v>
      </c>
      <c r="AD135" s="34" t="s">
        <v>21</v>
      </c>
      <c r="AE135" s="34" t="s">
        <v>22</v>
      </c>
      <c r="AF135" s="34" t="s">
        <v>23</v>
      </c>
      <c r="AG135" s="164"/>
      <c r="AH135" s="4"/>
    </row>
    <row r="136" spans="1:34" x14ac:dyDescent="0.25">
      <c r="B136" s="8"/>
      <c r="C136" s="9"/>
      <c r="D136" s="10">
        <v>0</v>
      </c>
      <c r="E136" s="10">
        <v>1</v>
      </c>
      <c r="F136" s="10">
        <v>2</v>
      </c>
      <c r="G136" s="10" t="s">
        <v>24</v>
      </c>
      <c r="H136" s="10" t="s">
        <v>25</v>
      </c>
      <c r="I136" s="10" t="s">
        <v>26</v>
      </c>
      <c r="J136" s="10" t="s">
        <v>27</v>
      </c>
      <c r="K136" s="26" t="s">
        <v>60</v>
      </c>
      <c r="L136" s="10" t="s">
        <v>61</v>
      </c>
      <c r="M136" s="10" t="s">
        <v>61</v>
      </c>
      <c r="N136" s="10" t="s">
        <v>62</v>
      </c>
      <c r="O136" s="10" t="s">
        <v>63</v>
      </c>
      <c r="P136" s="10" t="s">
        <v>63</v>
      </c>
      <c r="Q136" s="10" t="s">
        <v>63</v>
      </c>
      <c r="R136" s="10">
        <v>9</v>
      </c>
      <c r="S136" s="32" t="s">
        <v>163</v>
      </c>
      <c r="T136" s="32" t="s">
        <v>164</v>
      </c>
      <c r="U136" s="32" t="s">
        <v>165</v>
      </c>
      <c r="V136" s="32" t="s">
        <v>166</v>
      </c>
      <c r="W136" s="32" t="s">
        <v>64</v>
      </c>
      <c r="X136" s="10" t="s">
        <v>65</v>
      </c>
      <c r="Y136" s="10" t="s">
        <v>66</v>
      </c>
      <c r="Z136" s="10" t="s">
        <v>67</v>
      </c>
      <c r="AA136" s="10" t="s">
        <v>158</v>
      </c>
      <c r="AB136" s="10" t="s">
        <v>243</v>
      </c>
      <c r="AC136" s="10">
        <v>16</v>
      </c>
      <c r="AD136" s="32" t="s">
        <v>159</v>
      </c>
      <c r="AE136" s="32" t="s">
        <v>160</v>
      </c>
      <c r="AF136" s="32" t="s">
        <v>161</v>
      </c>
      <c r="AG136" s="10">
        <v>17</v>
      </c>
      <c r="AH136" s="4"/>
    </row>
    <row r="137" spans="1:34" ht="15" x14ac:dyDescent="0.25">
      <c r="A137" s="1" t="s">
        <v>208</v>
      </c>
      <c r="B137" s="8">
        <v>1</v>
      </c>
      <c r="C137" s="20" t="s">
        <v>103</v>
      </c>
      <c r="D137" s="12">
        <v>2</v>
      </c>
      <c r="E137" s="19">
        <v>97.35</v>
      </c>
      <c r="F137" s="15">
        <f>+E137*1157.17</f>
        <v>112650.49950000001</v>
      </c>
      <c r="G137" s="15">
        <f>+F137/60</f>
        <v>1877.508325</v>
      </c>
      <c r="H137" s="15">
        <f>+F137*1.5%</f>
        <v>1689.7574925000001</v>
      </c>
      <c r="I137" s="15">
        <f>+F137*0.5%</f>
        <v>563.2524975</v>
      </c>
      <c r="J137" s="15">
        <f>+G137+H137+I137</f>
        <v>4130.5183150000003</v>
      </c>
      <c r="K137" s="15">
        <f>+J137/12</f>
        <v>344.20985958333335</v>
      </c>
      <c r="L137" s="15"/>
      <c r="M137" s="15">
        <f>+J137*(100%+5.6%)</f>
        <v>4361.8273406400003</v>
      </c>
      <c r="N137" s="15">
        <f>+K137*N135</f>
        <v>240.94690170833334</v>
      </c>
      <c r="O137" s="15">
        <f>+N137*O135</f>
        <v>192.75752136666668</v>
      </c>
      <c r="P137" s="15">
        <f>+N137*P135</f>
        <v>216.85221153750001</v>
      </c>
      <c r="Q137" s="15">
        <f>+N137*Q135</f>
        <v>240.94690170833334</v>
      </c>
      <c r="R137" s="15"/>
      <c r="S137" s="15"/>
      <c r="T137" s="15"/>
      <c r="U137" s="15"/>
      <c r="V137" s="15"/>
      <c r="W137" s="15"/>
      <c r="X137" s="15"/>
      <c r="Y137" s="15"/>
      <c r="Z137" s="15"/>
      <c r="AA137" s="40"/>
      <c r="AB137" s="15"/>
      <c r="AC137" s="15"/>
      <c r="AD137" s="15"/>
      <c r="AE137" s="15"/>
      <c r="AF137" s="35"/>
      <c r="AG137" s="36"/>
      <c r="AH137" s="4"/>
    </row>
    <row r="138" spans="1:34" ht="15" x14ac:dyDescent="0.25">
      <c r="A138" s="1" t="s">
        <v>209</v>
      </c>
      <c r="B138" s="8">
        <v>2</v>
      </c>
      <c r="C138" s="20" t="s">
        <v>99</v>
      </c>
      <c r="D138" s="12">
        <v>2</v>
      </c>
      <c r="E138" s="19">
        <v>99.24</v>
      </c>
      <c r="F138" s="15">
        <f>+E138*1157.17</f>
        <v>114837.5508</v>
      </c>
      <c r="G138" s="15">
        <f>+F138/60</f>
        <v>1913.9591800000001</v>
      </c>
      <c r="H138" s="15">
        <f>+F138*1.5%</f>
        <v>1722.5632619999999</v>
      </c>
      <c r="I138" s="15">
        <f>+F138*0.5%</f>
        <v>574.18775400000004</v>
      </c>
      <c r="J138" s="15">
        <f>+G138+H138+I138</f>
        <v>4210.710196</v>
      </c>
      <c r="K138" s="15">
        <f>+J138/12</f>
        <v>350.89251633333333</v>
      </c>
      <c r="L138" s="15"/>
      <c r="M138" s="15">
        <f>+J138*(100%+5.6%)</f>
        <v>4446.5099669760002</v>
      </c>
      <c r="N138" s="15">
        <f>+K138*N135</f>
        <v>245.6247614333333</v>
      </c>
      <c r="O138" s="15">
        <f>+N138*O135</f>
        <v>196.49980914666665</v>
      </c>
      <c r="P138" s="15">
        <f>+N138*P135</f>
        <v>221.06228528999998</v>
      </c>
      <c r="Q138" s="15">
        <f>+N138*Q135</f>
        <v>245.6247614333333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40"/>
      <c r="AB138" s="40"/>
      <c r="AC138" s="15"/>
      <c r="AD138" s="15"/>
      <c r="AE138" s="15"/>
      <c r="AF138" s="35"/>
      <c r="AG138" s="36"/>
      <c r="AH138" s="4"/>
    </row>
    <row r="139" spans="1:34" ht="15" x14ac:dyDescent="0.25">
      <c r="A139" s="1" t="s">
        <v>210</v>
      </c>
      <c r="B139" s="8">
        <v>3</v>
      </c>
      <c r="C139" s="20" t="s">
        <v>110</v>
      </c>
      <c r="D139" s="12">
        <v>2</v>
      </c>
      <c r="E139" s="19">
        <v>97.85</v>
      </c>
      <c r="F139" s="15">
        <f>+E139*1157.17</f>
        <v>113229.0845</v>
      </c>
      <c r="G139" s="15">
        <f>+F139/60</f>
        <v>1887.1514083333334</v>
      </c>
      <c r="H139" s="15">
        <f>+F139*1.5%</f>
        <v>1698.4362675</v>
      </c>
      <c r="I139" s="15">
        <f>+F139*0.5%</f>
        <v>566.1454225</v>
      </c>
      <c r="J139" s="15">
        <v>4151.74</v>
      </c>
      <c r="K139" s="15">
        <f>+J139/12</f>
        <v>345.9783333333333</v>
      </c>
      <c r="L139" s="15"/>
      <c r="M139" s="15">
        <f>+J139*(100%+5.6%)</f>
        <v>4384.2374399999999</v>
      </c>
      <c r="N139" s="15">
        <v>242.19</v>
      </c>
      <c r="O139" s="15">
        <f>+N139*O135</f>
        <v>193.75200000000001</v>
      </c>
      <c r="P139" s="15">
        <f>+N139*P135</f>
        <v>217.971</v>
      </c>
      <c r="Q139" s="15">
        <f>+N139*Q135</f>
        <v>242.19</v>
      </c>
      <c r="R139" s="15"/>
      <c r="S139" s="15"/>
      <c r="T139" s="15"/>
      <c r="U139" s="15"/>
      <c r="V139" s="15"/>
      <c r="W139" s="15"/>
      <c r="X139" s="15"/>
      <c r="Y139" s="15"/>
      <c r="Z139" s="15"/>
      <c r="AA139" s="40"/>
      <c r="AB139" s="40"/>
      <c r="AC139" s="15"/>
      <c r="AD139" s="15"/>
      <c r="AE139" s="15"/>
      <c r="AF139" s="35"/>
      <c r="AG139" s="36"/>
      <c r="AH139" s="4"/>
    </row>
    <row r="140" spans="1:34" x14ac:dyDescent="0.25">
      <c r="B140" s="8"/>
      <c r="C140" s="177" t="s">
        <v>77</v>
      </c>
      <c r="D140" s="177"/>
      <c r="E140" s="16">
        <f t="shared" ref="E140:K140" si="52">SUM(E137:E139)</f>
        <v>294.43999999999994</v>
      </c>
      <c r="F140" s="16">
        <f t="shared" si="52"/>
        <v>340717.1348</v>
      </c>
      <c r="G140" s="16">
        <f t="shared" si="52"/>
        <v>5678.6189133333337</v>
      </c>
      <c r="H140" s="16">
        <f t="shared" si="52"/>
        <v>5110.7570219999998</v>
      </c>
      <c r="I140" s="63">
        <f t="shared" si="52"/>
        <v>1703.5856740000002</v>
      </c>
      <c r="J140" s="16">
        <f t="shared" si="52"/>
        <v>12492.968511000001</v>
      </c>
      <c r="K140" s="16">
        <f t="shared" si="52"/>
        <v>1041.0807092499999</v>
      </c>
      <c r="L140" s="16"/>
      <c r="M140" s="16">
        <f>SUM(M137:M139)</f>
        <v>13192.574747616</v>
      </c>
      <c r="N140" s="16">
        <f>SUM(N137:N139)</f>
        <v>728.76166314166665</v>
      </c>
      <c r="O140" s="16">
        <f>SUM(O137:O139)</f>
        <v>583.00933051333334</v>
      </c>
      <c r="P140" s="16">
        <f>SUM(P137:P139)-0.01</f>
        <v>655.8754968275</v>
      </c>
      <c r="Q140" s="16">
        <f>SUM(Q137:Q139)</f>
        <v>728.76166314166665</v>
      </c>
      <c r="R140" s="16"/>
      <c r="S140" s="16">
        <f>SUM(S137:S139)</f>
        <v>0</v>
      </c>
      <c r="T140" s="16">
        <f t="shared" ref="T140:AG140" si="53">SUM(T137:T139)</f>
        <v>0</v>
      </c>
      <c r="U140" s="16">
        <f t="shared" si="53"/>
        <v>0</v>
      </c>
      <c r="V140" s="16">
        <f t="shared" si="53"/>
        <v>0</v>
      </c>
      <c r="W140" s="16">
        <f t="shared" si="53"/>
        <v>0</v>
      </c>
      <c r="X140" s="16">
        <f t="shared" si="53"/>
        <v>0</v>
      </c>
      <c r="Y140" s="16">
        <f t="shared" si="53"/>
        <v>0</v>
      </c>
      <c r="Z140" s="16">
        <f t="shared" si="53"/>
        <v>0</v>
      </c>
      <c r="AA140" s="16">
        <f t="shared" si="53"/>
        <v>0</v>
      </c>
      <c r="AB140" s="16">
        <f t="shared" si="53"/>
        <v>0</v>
      </c>
      <c r="AC140" s="16">
        <f t="shared" si="53"/>
        <v>0</v>
      </c>
      <c r="AD140" s="16">
        <f t="shared" si="53"/>
        <v>0</v>
      </c>
      <c r="AE140" s="16">
        <f t="shared" si="53"/>
        <v>0</v>
      </c>
      <c r="AF140" s="16">
        <f t="shared" si="53"/>
        <v>0</v>
      </c>
      <c r="AG140" s="16">
        <f t="shared" si="53"/>
        <v>0</v>
      </c>
      <c r="AH140" s="4"/>
    </row>
    <row r="141" spans="1:34" x14ac:dyDescent="0.25">
      <c r="B141" s="136"/>
      <c r="C141" s="56"/>
      <c r="D141" s="56"/>
      <c r="E141" s="44"/>
      <c r="F141" s="44"/>
      <c r="G141" s="44"/>
      <c r="H141" s="44"/>
      <c r="I141" s="60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"/>
    </row>
    <row r="142" spans="1:34" x14ac:dyDescent="0.25">
      <c r="B142" s="136"/>
      <c r="C142" s="56"/>
      <c r="D142" s="56"/>
      <c r="E142" s="44"/>
      <c r="F142" s="44"/>
      <c r="G142" s="44"/>
      <c r="H142" s="44"/>
      <c r="I142" s="60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"/>
    </row>
    <row r="143" spans="1:34" x14ac:dyDescent="0.25">
      <c r="B143" s="136"/>
      <c r="C143" s="56"/>
      <c r="D143" s="56"/>
      <c r="E143" s="44"/>
      <c r="F143" s="44"/>
      <c r="G143" s="44"/>
      <c r="H143" s="44"/>
      <c r="I143" s="60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"/>
    </row>
    <row r="144" spans="1:34" x14ac:dyDescent="0.25">
      <c r="B144" s="136"/>
      <c r="C144" s="56"/>
      <c r="D144" s="56"/>
      <c r="E144" s="44"/>
      <c r="F144" s="44"/>
      <c r="G144" s="44"/>
      <c r="H144" s="44"/>
      <c r="I144" s="60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"/>
    </row>
    <row r="145" spans="1:34" x14ac:dyDescent="0.25">
      <c r="B145" s="4"/>
      <c r="C145" s="56"/>
      <c r="D145" s="56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"/>
    </row>
    <row r="146" spans="1:34" ht="20.25" x14ac:dyDescent="0.25">
      <c r="B146" s="4"/>
      <c r="C146" s="181" t="s">
        <v>111</v>
      </c>
      <c r="D146" s="181"/>
      <c r="E146" s="181"/>
      <c r="F146" s="181"/>
      <c r="G146" s="18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3"/>
      <c r="X146" s="4"/>
      <c r="Y146" s="4"/>
      <c r="Z146" s="4"/>
      <c r="AA146" s="4"/>
      <c r="AB146" s="4"/>
      <c r="AC146" s="4"/>
      <c r="AD146" s="4"/>
      <c r="AE146" s="4"/>
      <c r="AF146" s="4"/>
      <c r="AG146" s="3"/>
      <c r="AH146" s="4"/>
    </row>
    <row r="147" spans="1:3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B148" s="4"/>
      <c r="C148" s="189" t="s">
        <v>0</v>
      </c>
      <c r="D148" s="189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119.25" customHeight="1" x14ac:dyDescent="0.25">
      <c r="B150" s="173" t="s">
        <v>1</v>
      </c>
      <c r="C150" s="175" t="s">
        <v>56</v>
      </c>
      <c r="D150" s="167" t="s">
        <v>3</v>
      </c>
      <c r="E150" s="167" t="s">
        <v>4</v>
      </c>
      <c r="F150" s="167" t="s">
        <v>5</v>
      </c>
      <c r="G150" s="167" t="s">
        <v>6</v>
      </c>
      <c r="H150" s="167" t="s">
        <v>7</v>
      </c>
      <c r="I150" s="167" t="s">
        <v>8</v>
      </c>
      <c r="J150" s="167" t="s">
        <v>9</v>
      </c>
      <c r="K150" s="167" t="s">
        <v>57</v>
      </c>
      <c r="L150" s="23" t="s">
        <v>10</v>
      </c>
      <c r="M150" s="23" t="s">
        <v>10</v>
      </c>
      <c r="N150" s="23" t="s">
        <v>12</v>
      </c>
      <c r="O150" s="169" t="s">
        <v>13</v>
      </c>
      <c r="P150" s="170"/>
      <c r="Q150" s="171"/>
      <c r="R150" s="167" t="s">
        <v>14</v>
      </c>
      <c r="S150" s="183" t="s">
        <v>58</v>
      </c>
      <c r="T150" s="184"/>
      <c r="U150" s="184"/>
      <c r="V150" s="185"/>
      <c r="W150" s="165" t="s">
        <v>21</v>
      </c>
      <c r="X150" s="167" t="s">
        <v>9</v>
      </c>
      <c r="Y150" s="23" t="s">
        <v>245</v>
      </c>
      <c r="Z150" s="23" t="s">
        <v>246</v>
      </c>
      <c r="AA150" s="23" t="s">
        <v>157</v>
      </c>
      <c r="AB150" s="165" t="s">
        <v>59</v>
      </c>
      <c r="AC150" s="186" t="s">
        <v>18</v>
      </c>
      <c r="AD150" s="187"/>
      <c r="AE150" s="187"/>
      <c r="AF150" s="187"/>
      <c r="AG150" s="163" t="s">
        <v>19</v>
      </c>
      <c r="AH150" s="4"/>
    </row>
    <row r="151" spans="1:34" ht="51" x14ac:dyDescent="0.25">
      <c r="B151" s="174"/>
      <c r="C151" s="176"/>
      <c r="D151" s="168"/>
      <c r="E151" s="168"/>
      <c r="F151" s="168"/>
      <c r="G151" s="168"/>
      <c r="H151" s="168"/>
      <c r="I151" s="168"/>
      <c r="J151" s="168"/>
      <c r="K151" s="168"/>
      <c r="L151" s="23">
        <v>5.6</v>
      </c>
      <c r="M151" s="23">
        <v>5.6</v>
      </c>
      <c r="N151" s="23">
        <v>0.7</v>
      </c>
      <c r="O151" s="24">
        <v>0.8</v>
      </c>
      <c r="P151" s="25">
        <v>0.9</v>
      </c>
      <c r="Q151" s="29">
        <v>1</v>
      </c>
      <c r="R151" s="168"/>
      <c r="S151" s="30">
        <v>0.1</v>
      </c>
      <c r="T151" s="31">
        <v>0.2</v>
      </c>
      <c r="U151" s="31">
        <v>0.3</v>
      </c>
      <c r="V151" s="31">
        <v>0.1</v>
      </c>
      <c r="W151" s="166"/>
      <c r="X151" s="168"/>
      <c r="Y151" s="23">
        <v>10.4</v>
      </c>
      <c r="Z151" s="23">
        <v>5.6</v>
      </c>
      <c r="AA151" s="23"/>
      <c r="AB151" s="166"/>
      <c r="AC151" s="34" t="s">
        <v>20</v>
      </c>
      <c r="AD151" s="34" t="s">
        <v>21</v>
      </c>
      <c r="AE151" s="34" t="s">
        <v>22</v>
      </c>
      <c r="AF151" s="34" t="s">
        <v>23</v>
      </c>
      <c r="AG151" s="164"/>
      <c r="AH151" s="4"/>
    </row>
    <row r="152" spans="1:34" x14ac:dyDescent="0.25">
      <c r="B152" s="8"/>
      <c r="C152" s="9"/>
      <c r="D152" s="10">
        <v>0</v>
      </c>
      <c r="E152" s="10">
        <v>1</v>
      </c>
      <c r="F152" s="10">
        <v>2</v>
      </c>
      <c r="G152" s="10" t="s">
        <v>24</v>
      </c>
      <c r="H152" s="10" t="s">
        <v>25</v>
      </c>
      <c r="I152" s="10" t="s">
        <v>26</v>
      </c>
      <c r="J152" s="10" t="s">
        <v>27</v>
      </c>
      <c r="K152" s="26" t="s">
        <v>60</v>
      </c>
      <c r="L152" s="10" t="s">
        <v>61</v>
      </c>
      <c r="M152" s="10" t="s">
        <v>61</v>
      </c>
      <c r="N152" s="10" t="s">
        <v>62</v>
      </c>
      <c r="O152" s="10" t="s">
        <v>63</v>
      </c>
      <c r="P152" s="10" t="s">
        <v>63</v>
      </c>
      <c r="Q152" s="10" t="s">
        <v>63</v>
      </c>
      <c r="R152" s="10">
        <v>9</v>
      </c>
      <c r="S152" s="32" t="s">
        <v>163</v>
      </c>
      <c r="T152" s="32" t="s">
        <v>164</v>
      </c>
      <c r="U152" s="32" t="s">
        <v>165</v>
      </c>
      <c r="V152" s="32" t="s">
        <v>166</v>
      </c>
      <c r="W152" s="32" t="s">
        <v>64</v>
      </c>
      <c r="X152" s="10" t="s">
        <v>65</v>
      </c>
      <c r="Y152" s="10" t="s">
        <v>66</v>
      </c>
      <c r="Z152" s="10" t="s">
        <v>67</v>
      </c>
      <c r="AA152" s="10" t="s">
        <v>158</v>
      </c>
      <c r="AB152" s="10" t="s">
        <v>243</v>
      </c>
      <c r="AC152" s="10">
        <v>16</v>
      </c>
      <c r="AD152" s="32" t="s">
        <v>159</v>
      </c>
      <c r="AE152" s="32" t="s">
        <v>160</v>
      </c>
      <c r="AF152" s="32" t="s">
        <v>161</v>
      </c>
      <c r="AG152" s="10">
        <v>17</v>
      </c>
      <c r="AH152" s="55"/>
    </row>
    <row r="153" spans="1:34" x14ac:dyDescent="0.25">
      <c r="A153" s="1" t="s">
        <v>211</v>
      </c>
      <c r="B153" s="11">
        <v>1</v>
      </c>
      <c r="C153" s="20" t="s">
        <v>112</v>
      </c>
      <c r="D153" s="12">
        <v>2</v>
      </c>
      <c r="E153" s="20">
        <v>100.03</v>
      </c>
      <c r="F153" s="15">
        <f>+E153*1193.74</f>
        <v>119409.8122</v>
      </c>
      <c r="G153" s="15">
        <f>+F153/60</f>
        <v>1990.1635366666667</v>
      </c>
      <c r="H153" s="15">
        <f>+F153*1.5%</f>
        <v>1791.147183</v>
      </c>
      <c r="I153" s="15">
        <f>F153*0%</f>
        <v>0</v>
      </c>
      <c r="J153" s="15">
        <f>+G153+H153</f>
        <v>3781.310719666667</v>
      </c>
      <c r="K153" s="15">
        <f>+J153/12</f>
        <v>315.10922663888891</v>
      </c>
      <c r="L153" s="15"/>
      <c r="M153" s="15">
        <f>J153*(100%+5.6%)</f>
        <v>3993.0641199680003</v>
      </c>
      <c r="N153" s="15">
        <f>+K153*N151</f>
        <v>220.57645864722224</v>
      </c>
      <c r="O153" s="15">
        <f>+N153*O151</f>
        <v>176.4611669177778</v>
      </c>
      <c r="P153" s="15">
        <f>+N153*P151</f>
        <v>198.51881278250002</v>
      </c>
      <c r="Q153" s="15">
        <f>+N153*Q151</f>
        <v>220.57645864722224</v>
      </c>
      <c r="R153" s="15">
        <v>776.44</v>
      </c>
      <c r="S153" s="15">
        <f>R153*S151</f>
        <v>77.644000000000005</v>
      </c>
      <c r="T153" s="15">
        <v>0</v>
      </c>
      <c r="U153" s="15">
        <v>0</v>
      </c>
      <c r="V153" s="15">
        <v>0</v>
      </c>
      <c r="W153" s="15">
        <f>O153</f>
        <v>176.4611669177778</v>
      </c>
      <c r="X153" s="15">
        <v>931.68</v>
      </c>
      <c r="Y153" s="15">
        <f>X153*(100%+10.4%)</f>
        <v>1028.5747200000001</v>
      </c>
      <c r="Z153" s="15">
        <f>Y153*(100%+5.6%)</f>
        <v>1086.1749043200002</v>
      </c>
      <c r="AA153" s="40"/>
      <c r="AB153" s="15">
        <f>AA153/12</f>
        <v>0</v>
      </c>
      <c r="AC153" s="15">
        <f>K153</f>
        <v>315.10922663888891</v>
      </c>
      <c r="AD153" s="15">
        <f>AB153</f>
        <v>0</v>
      </c>
      <c r="AE153" s="15">
        <f>G153/12</f>
        <v>165.8469613888889</v>
      </c>
      <c r="AF153" s="35">
        <f>AE153/AC153*100</f>
        <v>52.631578947368418</v>
      </c>
      <c r="AG153" s="36"/>
      <c r="AH153" s="55"/>
    </row>
    <row r="154" spans="1:34" x14ac:dyDescent="0.25">
      <c r="A154" s="1" t="s">
        <v>212</v>
      </c>
      <c r="B154" s="11">
        <v>2</v>
      </c>
      <c r="C154" s="20" t="s">
        <v>113</v>
      </c>
      <c r="D154" s="12">
        <v>2</v>
      </c>
      <c r="E154" s="20">
        <v>98.27</v>
      </c>
      <c r="F154" s="15">
        <f>+E154*1193.74</f>
        <v>117308.82979999999</v>
      </c>
      <c r="G154" s="15">
        <f>+F154/60</f>
        <v>1955.1471633333333</v>
      </c>
      <c r="H154" s="15">
        <f>+F154*1.5%</f>
        <v>1759.6324469999997</v>
      </c>
      <c r="I154" s="15">
        <v>0</v>
      </c>
      <c r="J154" s="15">
        <f>+G154+H154</f>
        <v>3714.779610333333</v>
      </c>
      <c r="K154" s="15">
        <f>+J154/12</f>
        <v>309.56496752777775</v>
      </c>
      <c r="L154" s="15"/>
      <c r="M154" s="15">
        <f>J154*(100%+5.6%)</f>
        <v>3922.8072685120001</v>
      </c>
      <c r="N154" s="15">
        <f>+K154*N151</f>
        <v>216.69547726944441</v>
      </c>
      <c r="O154" s="15">
        <f>+N154*O151</f>
        <v>173.35638181555555</v>
      </c>
      <c r="P154" s="15">
        <f>+N154*P151</f>
        <v>195.02592954249997</v>
      </c>
      <c r="Q154" s="15">
        <f>+N154*Q151</f>
        <v>216.69547726944441</v>
      </c>
      <c r="R154" s="15">
        <v>951.75</v>
      </c>
      <c r="S154" s="15">
        <f>R154*S151</f>
        <v>95.175000000000011</v>
      </c>
      <c r="T154" s="15">
        <v>0</v>
      </c>
      <c r="U154" s="15">
        <v>0</v>
      </c>
      <c r="V154" s="15">
        <v>0</v>
      </c>
      <c r="W154" s="15">
        <f>O154</f>
        <v>173.35638181555555</v>
      </c>
      <c r="X154" s="15">
        <v>673.68</v>
      </c>
      <c r="Y154" s="40">
        <f>X154*(100%+10.4%)</f>
        <v>743.74271999999996</v>
      </c>
      <c r="Z154" s="40">
        <f>Y154*(100%+5.6%)</f>
        <v>785.39231231999997</v>
      </c>
      <c r="AA154" s="40"/>
      <c r="AB154" s="40">
        <f>AA154/12</f>
        <v>0</v>
      </c>
      <c r="AC154" s="15">
        <f>K154</f>
        <v>309.56496752777775</v>
      </c>
      <c r="AD154" s="15">
        <v>95.18</v>
      </c>
      <c r="AE154" s="15">
        <f>G154/12</f>
        <v>162.92893027777777</v>
      </c>
      <c r="AF154" s="50">
        <f>AE154/AC154*100</f>
        <v>52.631578947368418</v>
      </c>
      <c r="AG154" s="36"/>
      <c r="AH154" s="55"/>
    </row>
    <row r="155" spans="1:34" x14ac:dyDescent="0.25">
      <c r="B155" s="8"/>
      <c r="C155" s="188" t="s">
        <v>77</v>
      </c>
      <c r="D155" s="188"/>
      <c r="E155" s="41">
        <f>+E154+E153</f>
        <v>198.3</v>
      </c>
      <c r="F155" s="41">
        <f>SUM(F153:F154)</f>
        <v>236718.64199999999</v>
      </c>
      <c r="G155" s="41">
        <f>SUM(G153:G154)</f>
        <v>3945.3107</v>
      </c>
      <c r="H155" s="41">
        <f>SUM(H153:H154)</f>
        <v>3550.77963</v>
      </c>
      <c r="I155" s="41">
        <f>+I153</f>
        <v>0</v>
      </c>
      <c r="J155" s="41">
        <f>SUM(J153:J154)</f>
        <v>7496.09033</v>
      </c>
      <c r="K155" s="41">
        <f>SUM(K153:K154)</f>
        <v>624.67419416666667</v>
      </c>
      <c r="L155" s="41"/>
      <c r="M155" s="41">
        <f>SUM(M153:M154)</f>
        <v>7915.87138848</v>
      </c>
      <c r="N155" s="41">
        <f>SUM(N153:N154)+0.01</f>
        <v>437.28193591666661</v>
      </c>
      <c r="O155" s="41">
        <f>SUM(O153:O154)</f>
        <v>349.81754873333335</v>
      </c>
      <c r="P155" s="41">
        <f>SUM(P153:P154)+0.01</f>
        <v>393.55474232500001</v>
      </c>
      <c r="Q155" s="41">
        <f>SUM(Q153:Q154)+0.01</f>
        <v>437.28193591666661</v>
      </c>
      <c r="R155" s="41"/>
      <c r="S155" s="41">
        <f>SUM(S153:S154)</f>
        <v>172.81900000000002</v>
      </c>
      <c r="T155" s="41">
        <f t="shared" ref="T155:AG155" si="54">SUM(T153:T154)</f>
        <v>0</v>
      </c>
      <c r="U155" s="41">
        <f t="shared" si="54"/>
        <v>0</v>
      </c>
      <c r="V155" s="41">
        <f t="shared" si="54"/>
        <v>0</v>
      </c>
      <c r="W155" s="41">
        <f t="shared" si="54"/>
        <v>349.81754873333335</v>
      </c>
      <c r="X155" s="41">
        <f t="shared" si="54"/>
        <v>1605.36</v>
      </c>
      <c r="Y155" s="41">
        <f t="shared" si="54"/>
        <v>1772.31744</v>
      </c>
      <c r="Z155" s="41">
        <v>1871.56</v>
      </c>
      <c r="AA155" s="41">
        <f t="shared" si="54"/>
        <v>0</v>
      </c>
      <c r="AB155" s="41">
        <f t="shared" si="54"/>
        <v>0</v>
      </c>
      <c r="AC155" s="41">
        <f t="shared" si="54"/>
        <v>624.67419416666667</v>
      </c>
      <c r="AD155" s="41">
        <f t="shared" si="54"/>
        <v>95.18</v>
      </c>
      <c r="AE155" s="41">
        <f t="shared" si="54"/>
        <v>328.77589166666667</v>
      </c>
      <c r="AF155" s="41">
        <f t="shared" si="54"/>
        <v>105.26315789473684</v>
      </c>
      <c r="AG155" s="41">
        <f t="shared" si="54"/>
        <v>0</v>
      </c>
      <c r="AH155" s="55"/>
    </row>
    <row r="156" spans="1:34" x14ac:dyDescent="0.25">
      <c r="B156" s="4"/>
      <c r="C156" s="58"/>
      <c r="D156" s="58"/>
      <c r="E156" s="59"/>
      <c r="F156" s="59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55"/>
    </row>
    <row r="157" spans="1:34" x14ac:dyDescent="0.25">
      <c r="B157" s="4"/>
      <c r="C157" s="21"/>
      <c r="D157" s="21"/>
      <c r="E157" s="18"/>
      <c r="F157" s="18"/>
      <c r="G157" s="44"/>
      <c r="H157" s="60"/>
      <c r="I157" s="44"/>
      <c r="J157" s="44"/>
      <c r="K157" s="60"/>
      <c r="L157" s="60"/>
      <c r="M157" s="60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"/>
    </row>
    <row r="158" spans="1:34" ht="20.25" x14ac:dyDescent="0.25">
      <c r="B158" s="4"/>
      <c r="C158" s="182" t="s">
        <v>101</v>
      </c>
      <c r="D158" s="182"/>
      <c r="E158" s="45"/>
      <c r="F158" s="45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"/>
    </row>
    <row r="159" spans="1:34" ht="15.95" customHeight="1" x14ac:dyDescent="0.25">
      <c r="B159" s="17"/>
      <c r="C159" s="54"/>
      <c r="D159" s="61"/>
      <c r="E159" s="61"/>
      <c r="F159" s="61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5"/>
      <c r="T159" s="65"/>
      <c r="U159" s="65"/>
      <c r="V159" s="65"/>
      <c r="W159" s="66"/>
      <c r="X159" s="52"/>
      <c r="Y159" s="52"/>
      <c r="Z159" s="52"/>
      <c r="AA159" s="52"/>
      <c r="AB159" s="52"/>
      <c r="AC159" s="52"/>
      <c r="AD159" s="52"/>
      <c r="AE159" s="52"/>
      <c r="AF159" s="52"/>
      <c r="AG159" s="53"/>
      <c r="AH159" s="4"/>
    </row>
    <row r="160" spans="1:34" ht="116.1" customHeight="1" x14ac:dyDescent="0.25">
      <c r="B160" s="173" t="s">
        <v>1</v>
      </c>
      <c r="C160" s="175" t="s">
        <v>56</v>
      </c>
      <c r="D160" s="167" t="s">
        <v>3</v>
      </c>
      <c r="E160" s="167" t="s">
        <v>4</v>
      </c>
      <c r="F160" s="167" t="s">
        <v>5</v>
      </c>
      <c r="G160" s="167" t="s">
        <v>6</v>
      </c>
      <c r="H160" s="167" t="s">
        <v>7</v>
      </c>
      <c r="I160" s="167" t="s">
        <v>8</v>
      </c>
      <c r="J160" s="167" t="s">
        <v>9</v>
      </c>
      <c r="K160" s="167" t="s">
        <v>57</v>
      </c>
      <c r="L160" s="23" t="s">
        <v>10</v>
      </c>
      <c r="M160" s="23" t="s">
        <v>10</v>
      </c>
      <c r="N160" s="23" t="s">
        <v>12</v>
      </c>
      <c r="O160" s="169" t="s">
        <v>13</v>
      </c>
      <c r="P160" s="170"/>
      <c r="Q160" s="171"/>
      <c r="R160" s="167" t="s">
        <v>14</v>
      </c>
      <c r="S160" s="183" t="s">
        <v>58</v>
      </c>
      <c r="T160" s="184"/>
      <c r="U160" s="184"/>
      <c r="V160" s="185"/>
      <c r="W160" s="165" t="s">
        <v>21</v>
      </c>
      <c r="X160" s="167" t="s">
        <v>9</v>
      </c>
      <c r="Y160" s="23" t="s">
        <v>245</v>
      </c>
      <c r="Z160" s="23" t="s">
        <v>246</v>
      </c>
      <c r="AA160" s="23" t="s">
        <v>157</v>
      </c>
      <c r="AB160" s="165" t="s">
        <v>59</v>
      </c>
      <c r="AC160" s="186" t="s">
        <v>18</v>
      </c>
      <c r="AD160" s="187"/>
      <c r="AE160" s="187"/>
      <c r="AF160" s="187"/>
      <c r="AG160" s="163" t="s">
        <v>19</v>
      </c>
      <c r="AH160" s="4"/>
    </row>
    <row r="161" spans="1:34" ht="51" x14ac:dyDescent="0.25">
      <c r="B161" s="174"/>
      <c r="C161" s="176"/>
      <c r="D161" s="168"/>
      <c r="E161" s="168"/>
      <c r="F161" s="168"/>
      <c r="G161" s="168"/>
      <c r="H161" s="168"/>
      <c r="I161" s="168"/>
      <c r="J161" s="168"/>
      <c r="K161" s="168"/>
      <c r="L161" s="23">
        <v>5.6</v>
      </c>
      <c r="M161" s="23">
        <v>5.6</v>
      </c>
      <c r="N161" s="23">
        <v>0.7</v>
      </c>
      <c r="O161" s="24">
        <v>0.8</v>
      </c>
      <c r="P161" s="25">
        <v>0.9</v>
      </c>
      <c r="Q161" s="29">
        <v>1</v>
      </c>
      <c r="R161" s="168"/>
      <c r="S161" s="30">
        <v>0.1</v>
      </c>
      <c r="T161" s="31">
        <v>0.2</v>
      </c>
      <c r="U161" s="31">
        <v>0.3</v>
      </c>
      <c r="V161" s="31">
        <v>0.1</v>
      </c>
      <c r="W161" s="166"/>
      <c r="X161" s="168"/>
      <c r="Y161" s="23">
        <v>10.4</v>
      </c>
      <c r="Z161" s="23">
        <v>5.6</v>
      </c>
      <c r="AA161" s="23"/>
      <c r="AB161" s="166"/>
      <c r="AC161" s="34" t="s">
        <v>20</v>
      </c>
      <c r="AD161" s="34" t="s">
        <v>21</v>
      </c>
      <c r="AE161" s="34" t="s">
        <v>22</v>
      </c>
      <c r="AF161" s="34" t="s">
        <v>23</v>
      </c>
      <c r="AG161" s="164"/>
      <c r="AH161" s="4"/>
    </row>
    <row r="162" spans="1:34" x14ac:dyDescent="0.25">
      <c r="B162" s="8"/>
      <c r="C162" s="9"/>
      <c r="D162" s="10">
        <v>0</v>
      </c>
      <c r="E162" s="10">
        <v>1</v>
      </c>
      <c r="F162" s="10">
        <v>2</v>
      </c>
      <c r="G162" s="10" t="s">
        <v>24</v>
      </c>
      <c r="H162" s="10" t="s">
        <v>25</v>
      </c>
      <c r="I162" s="10" t="s">
        <v>26</v>
      </c>
      <c r="J162" s="10" t="s">
        <v>27</v>
      </c>
      <c r="K162" s="26" t="s">
        <v>60</v>
      </c>
      <c r="L162" s="10" t="s">
        <v>61</v>
      </c>
      <c r="M162" s="10" t="s">
        <v>61</v>
      </c>
      <c r="N162" s="10" t="s">
        <v>62</v>
      </c>
      <c r="O162" s="10" t="s">
        <v>63</v>
      </c>
      <c r="P162" s="10" t="s">
        <v>63</v>
      </c>
      <c r="Q162" s="10" t="s">
        <v>63</v>
      </c>
      <c r="R162" s="10">
        <v>9</v>
      </c>
      <c r="S162" s="32" t="s">
        <v>163</v>
      </c>
      <c r="T162" s="32" t="s">
        <v>164</v>
      </c>
      <c r="U162" s="32" t="s">
        <v>165</v>
      </c>
      <c r="V162" s="32" t="s">
        <v>166</v>
      </c>
      <c r="W162" s="32" t="s">
        <v>64</v>
      </c>
      <c r="X162" s="10" t="s">
        <v>65</v>
      </c>
      <c r="Y162" s="10" t="s">
        <v>66</v>
      </c>
      <c r="Z162" s="10" t="s">
        <v>67</v>
      </c>
      <c r="AA162" s="10" t="s">
        <v>158</v>
      </c>
      <c r="AB162" s="10" t="s">
        <v>243</v>
      </c>
      <c r="AC162" s="10">
        <v>16</v>
      </c>
      <c r="AD162" s="32" t="s">
        <v>159</v>
      </c>
      <c r="AE162" s="32" t="s">
        <v>160</v>
      </c>
      <c r="AF162" s="32" t="s">
        <v>161</v>
      </c>
      <c r="AG162" s="10">
        <v>17</v>
      </c>
      <c r="AH162" s="55"/>
    </row>
    <row r="163" spans="1:34" x14ac:dyDescent="0.25">
      <c r="A163" s="1" t="s">
        <v>213</v>
      </c>
      <c r="B163" s="8">
        <v>1</v>
      </c>
      <c r="C163" s="20" t="s">
        <v>114</v>
      </c>
      <c r="D163" s="9">
        <v>2</v>
      </c>
      <c r="E163" s="20">
        <v>87.63</v>
      </c>
      <c r="F163" s="15">
        <f t="shared" ref="F163:F168" si="55">+E163*1193.74</f>
        <v>104607.4362</v>
      </c>
      <c r="G163" s="15">
        <f t="shared" ref="G163:G168" si="56">+F163/60</f>
        <v>1743.4572699999999</v>
      </c>
      <c r="H163" s="15">
        <f t="shared" ref="H163:H168" si="57">+F163*1.5%</f>
        <v>1569.111543</v>
      </c>
      <c r="I163" s="15">
        <f t="shared" ref="I163:I168" si="58">+F163*0.5%</f>
        <v>523.03718100000003</v>
      </c>
      <c r="J163" s="15">
        <f t="shared" ref="J163:J166" si="59">+G163+H163+I163</f>
        <v>3835.605994</v>
      </c>
      <c r="K163" s="15">
        <f t="shared" ref="K163:K168" si="60">+J163/12</f>
        <v>319.63383283333332</v>
      </c>
      <c r="L163" s="15">
        <f t="shared" ref="L163:L168" si="61">+I163*(100%+5.6%)</f>
        <v>552.32726313600006</v>
      </c>
      <c r="M163" s="15">
        <f t="shared" ref="M163:M168" si="62">+J163*(100%+5.6%)</f>
        <v>4050.3999296640004</v>
      </c>
      <c r="N163" s="15">
        <f>+K163*N161</f>
        <v>223.74368298333331</v>
      </c>
      <c r="O163" s="15">
        <f>+N163*O161</f>
        <v>178.99494638666667</v>
      </c>
      <c r="P163" s="15">
        <f>+N163*P161</f>
        <v>201.36931468499998</v>
      </c>
      <c r="Q163" s="15">
        <f>+N163*Q161</f>
        <v>223.74368298333331</v>
      </c>
      <c r="R163" s="15"/>
      <c r="S163" s="15"/>
      <c r="T163" s="15"/>
      <c r="U163" s="15"/>
      <c r="V163" s="15"/>
      <c r="W163" s="15"/>
      <c r="X163" s="15"/>
      <c r="Y163" s="15"/>
      <c r="Z163" s="15"/>
      <c r="AA163" s="40"/>
      <c r="AB163" s="15"/>
      <c r="AC163" s="15"/>
      <c r="AD163" s="15"/>
      <c r="AE163" s="15"/>
      <c r="AF163" s="35"/>
      <c r="AG163" s="36"/>
      <c r="AH163" s="55"/>
    </row>
    <row r="164" spans="1:34" x14ac:dyDescent="0.25">
      <c r="A164" s="1" t="s">
        <v>214</v>
      </c>
      <c r="B164" s="8">
        <v>2</v>
      </c>
      <c r="C164" s="20" t="s">
        <v>115</v>
      </c>
      <c r="D164" s="9">
        <v>2</v>
      </c>
      <c r="E164" s="20">
        <v>87.76</v>
      </c>
      <c r="F164" s="15">
        <f t="shared" si="55"/>
        <v>104762.62240000001</v>
      </c>
      <c r="G164" s="15">
        <f t="shared" si="56"/>
        <v>1746.0437066666668</v>
      </c>
      <c r="H164" s="15">
        <f t="shared" si="57"/>
        <v>1571.4393360000001</v>
      </c>
      <c r="I164" s="15">
        <f t="shared" si="58"/>
        <v>523.81311200000005</v>
      </c>
      <c r="J164" s="15">
        <v>3841.29</v>
      </c>
      <c r="K164" s="15">
        <f t="shared" si="60"/>
        <v>320.10750000000002</v>
      </c>
      <c r="L164" s="15">
        <f t="shared" si="61"/>
        <v>553.14664627200011</v>
      </c>
      <c r="M164" s="15">
        <f t="shared" si="62"/>
        <v>4056.4022400000003</v>
      </c>
      <c r="N164" s="15">
        <f>+K164*N161</f>
        <v>224.07524999999998</v>
      </c>
      <c r="O164" s="15">
        <f>+N164*O161</f>
        <v>179.2602</v>
      </c>
      <c r="P164" s="15">
        <f>+N164*P161</f>
        <v>201.66772499999999</v>
      </c>
      <c r="Q164" s="15">
        <f>+N164*Q161</f>
        <v>224.07524999999998</v>
      </c>
      <c r="R164" s="15"/>
      <c r="S164" s="15"/>
      <c r="T164" s="15"/>
      <c r="U164" s="15"/>
      <c r="V164" s="15"/>
      <c r="W164" s="15"/>
      <c r="X164" s="15"/>
      <c r="Y164" s="15"/>
      <c r="Z164" s="15"/>
      <c r="AA164" s="40"/>
      <c r="AB164" s="40"/>
      <c r="AC164" s="15"/>
      <c r="AD164" s="15"/>
      <c r="AE164" s="15"/>
      <c r="AF164" s="35"/>
      <c r="AG164" s="36"/>
      <c r="AH164" s="55"/>
    </row>
    <row r="165" spans="1:34" x14ac:dyDescent="0.25">
      <c r="A165" s="1" t="s">
        <v>215</v>
      </c>
      <c r="B165" s="8">
        <v>3</v>
      </c>
      <c r="C165" s="20" t="s">
        <v>116</v>
      </c>
      <c r="D165" s="9">
        <v>2</v>
      </c>
      <c r="E165" s="20">
        <v>93.34</v>
      </c>
      <c r="F165" s="15">
        <f t="shared" si="55"/>
        <v>111423.69160000001</v>
      </c>
      <c r="G165" s="15">
        <f t="shared" si="56"/>
        <v>1857.0615266666669</v>
      </c>
      <c r="H165" s="15">
        <f t="shared" si="57"/>
        <v>1671.355374</v>
      </c>
      <c r="I165" s="15">
        <f t="shared" si="58"/>
        <v>557.11845800000003</v>
      </c>
      <c r="J165" s="15">
        <f t="shared" si="59"/>
        <v>4085.535358666667</v>
      </c>
      <c r="K165" s="15">
        <f t="shared" si="60"/>
        <v>340.4612798888889</v>
      </c>
      <c r="L165" s="15">
        <f t="shared" si="61"/>
        <v>588.31709164800009</v>
      </c>
      <c r="M165" s="15">
        <f t="shared" si="62"/>
        <v>4314.3253387520008</v>
      </c>
      <c r="N165" s="15">
        <f>+K165*N161</f>
        <v>238.32289592222222</v>
      </c>
      <c r="O165" s="15">
        <f>+N165*O161</f>
        <v>190.6583167377778</v>
      </c>
      <c r="P165" s="15">
        <f>+N165*P161</f>
        <v>214.49060632999999</v>
      </c>
      <c r="Q165" s="15">
        <f>+N165*Q161</f>
        <v>238.32289592222222</v>
      </c>
      <c r="R165" s="15"/>
      <c r="S165" s="15"/>
      <c r="T165" s="15"/>
      <c r="U165" s="15"/>
      <c r="V165" s="15"/>
      <c r="W165" s="15"/>
      <c r="X165" s="15"/>
      <c r="Y165" s="15"/>
      <c r="Z165" s="15"/>
      <c r="AA165" s="40"/>
      <c r="AB165" s="40"/>
      <c r="AC165" s="15"/>
      <c r="AD165" s="15"/>
      <c r="AE165" s="15"/>
      <c r="AF165" s="35"/>
      <c r="AG165" s="36"/>
      <c r="AH165" s="55"/>
    </row>
    <row r="166" spans="1:34" x14ac:dyDescent="0.25">
      <c r="A166" s="1" t="s">
        <v>216</v>
      </c>
      <c r="B166" s="8">
        <v>4</v>
      </c>
      <c r="C166" s="20" t="s">
        <v>117</v>
      </c>
      <c r="D166" s="9">
        <v>2</v>
      </c>
      <c r="E166" s="20">
        <v>99.46</v>
      </c>
      <c r="F166" s="15">
        <f t="shared" si="55"/>
        <v>118729.38039999999</v>
      </c>
      <c r="G166" s="15">
        <f t="shared" si="56"/>
        <v>1978.8230066666665</v>
      </c>
      <c r="H166" s="15">
        <f t="shared" si="57"/>
        <v>1780.9407059999999</v>
      </c>
      <c r="I166" s="15">
        <f t="shared" si="58"/>
        <v>593.64690199999995</v>
      </c>
      <c r="J166" s="15">
        <f t="shared" si="59"/>
        <v>4353.4106146666663</v>
      </c>
      <c r="K166" s="15">
        <f t="shared" si="60"/>
        <v>362.78421788888886</v>
      </c>
      <c r="L166" s="15">
        <f t="shared" si="61"/>
        <v>626.89112851200002</v>
      </c>
      <c r="M166" s="15">
        <f t="shared" si="62"/>
        <v>4597.2016090879997</v>
      </c>
      <c r="N166" s="15">
        <f>+K166*N161</f>
        <v>253.94895252222219</v>
      </c>
      <c r="O166" s="15">
        <f>+N166*O161</f>
        <v>203.15916201777776</v>
      </c>
      <c r="P166" s="15">
        <f>+N166*P161</f>
        <v>228.55405726999996</v>
      </c>
      <c r="Q166" s="15">
        <f>+N166*Q161</f>
        <v>253.94895252222219</v>
      </c>
      <c r="R166" s="15"/>
      <c r="S166" s="15"/>
      <c r="T166" s="15"/>
      <c r="U166" s="15"/>
      <c r="V166" s="15"/>
      <c r="W166" s="15"/>
      <c r="X166" s="15"/>
      <c r="Y166" s="15"/>
      <c r="Z166" s="15"/>
      <c r="AA166" s="40"/>
      <c r="AB166" s="40"/>
      <c r="AC166" s="15"/>
      <c r="AD166" s="15"/>
      <c r="AE166" s="15"/>
      <c r="AF166" s="35"/>
      <c r="AG166" s="36"/>
      <c r="AH166" s="55"/>
    </row>
    <row r="167" spans="1:34" x14ac:dyDescent="0.25">
      <c r="A167" s="1" t="s">
        <v>217</v>
      </c>
      <c r="B167" s="9">
        <v>5</v>
      </c>
      <c r="C167" s="20" t="s">
        <v>118</v>
      </c>
      <c r="D167" s="9">
        <v>2</v>
      </c>
      <c r="E167" s="20">
        <v>99.55</v>
      </c>
      <c r="F167" s="15">
        <f t="shared" si="55"/>
        <v>118836.817</v>
      </c>
      <c r="G167" s="15">
        <f t="shared" si="56"/>
        <v>1980.6136166666665</v>
      </c>
      <c r="H167" s="15">
        <f t="shared" si="57"/>
        <v>1782.5522549999998</v>
      </c>
      <c r="I167" s="15">
        <f t="shared" si="58"/>
        <v>594.18408499999998</v>
      </c>
      <c r="J167" s="15">
        <v>4357.34</v>
      </c>
      <c r="K167" s="15">
        <f t="shared" si="60"/>
        <v>363.11166666666668</v>
      </c>
      <c r="L167" s="15">
        <f t="shared" si="61"/>
        <v>627.45839376000004</v>
      </c>
      <c r="M167" s="15">
        <f t="shared" si="62"/>
        <v>4601.3510400000005</v>
      </c>
      <c r="N167" s="15">
        <f>+K167*N161</f>
        <v>254.17816666666667</v>
      </c>
      <c r="O167" s="15">
        <f>+N167*O161</f>
        <v>203.34253333333334</v>
      </c>
      <c r="P167" s="15">
        <f>+N167*P161</f>
        <v>228.76035000000002</v>
      </c>
      <c r="Q167" s="15">
        <f>+N167*Q161</f>
        <v>254.17816666666667</v>
      </c>
      <c r="R167" s="15"/>
      <c r="S167" s="15"/>
      <c r="T167" s="15"/>
      <c r="U167" s="15"/>
      <c r="V167" s="15"/>
      <c r="W167" s="15"/>
      <c r="X167" s="15"/>
      <c r="Y167" s="15"/>
      <c r="Z167" s="15"/>
      <c r="AA167" s="40"/>
      <c r="AB167" s="40"/>
      <c r="AC167" s="15"/>
      <c r="AD167" s="15"/>
      <c r="AE167" s="15"/>
      <c r="AF167" s="35"/>
      <c r="AG167" s="36"/>
      <c r="AH167" s="55"/>
    </row>
    <row r="168" spans="1:34" x14ac:dyDescent="0.25">
      <c r="A168" s="1" t="s">
        <v>218</v>
      </c>
      <c r="B168" s="8">
        <v>6</v>
      </c>
      <c r="C168" s="20" t="s">
        <v>119</v>
      </c>
      <c r="D168" s="9">
        <v>2</v>
      </c>
      <c r="E168" s="20">
        <v>101.33</v>
      </c>
      <c r="F168" s="15">
        <f t="shared" si="55"/>
        <v>120961.67419999999</v>
      </c>
      <c r="G168" s="15">
        <f t="shared" si="56"/>
        <v>2016.0279033333331</v>
      </c>
      <c r="H168" s="15">
        <f t="shared" si="57"/>
        <v>1814.4251129999998</v>
      </c>
      <c r="I168" s="15">
        <f t="shared" si="58"/>
        <v>604.80837099999997</v>
      </c>
      <c r="J168" s="15">
        <v>4435.2700000000004</v>
      </c>
      <c r="K168" s="15">
        <f t="shared" si="60"/>
        <v>369.60583333333335</v>
      </c>
      <c r="L168" s="15">
        <f t="shared" si="61"/>
        <v>638.67763977599998</v>
      </c>
      <c r="M168" s="15">
        <f t="shared" si="62"/>
        <v>4683.645120000001</v>
      </c>
      <c r="N168" s="15">
        <f>+K168*N161</f>
        <v>258.72408333333334</v>
      </c>
      <c r="O168" s="15">
        <f>+N168*O161</f>
        <v>206.97926666666669</v>
      </c>
      <c r="P168" s="15">
        <f>+N168*P161</f>
        <v>232.851675</v>
      </c>
      <c r="Q168" s="15">
        <f>+N168*Q161</f>
        <v>258.72408333333334</v>
      </c>
      <c r="R168" s="15"/>
      <c r="S168" s="15"/>
      <c r="T168" s="15"/>
      <c r="U168" s="15"/>
      <c r="V168" s="15"/>
      <c r="W168" s="15"/>
      <c r="X168" s="15"/>
      <c r="Y168" s="15"/>
      <c r="Z168" s="15"/>
      <c r="AA168" s="40"/>
      <c r="AB168" s="40"/>
      <c r="AC168" s="15"/>
      <c r="AD168" s="15"/>
      <c r="AE168" s="15"/>
      <c r="AF168" s="35"/>
      <c r="AG168" s="36"/>
      <c r="AH168" s="55"/>
    </row>
    <row r="169" spans="1:34" x14ac:dyDescent="0.25">
      <c r="B169" s="8"/>
      <c r="C169" s="188" t="s">
        <v>77</v>
      </c>
      <c r="D169" s="188"/>
      <c r="E169" s="41">
        <f>SUM(E163:E168)</f>
        <v>569.07000000000005</v>
      </c>
      <c r="F169" s="41">
        <f>SUM(F163:F168)</f>
        <v>679321.62180000008</v>
      </c>
      <c r="G169" s="41">
        <f>SUM(G163:G168)-0.01</f>
        <v>11322.017029999999</v>
      </c>
      <c r="H169" s="41">
        <f>SUM(H163:H168)+0.01</f>
        <v>10189.834327</v>
      </c>
      <c r="I169" s="41">
        <f>SUM(I163:I168)</f>
        <v>3396.6081089999998</v>
      </c>
      <c r="J169" s="41">
        <f>SUM(J163:J168)+0.01</f>
        <v>24908.461967333333</v>
      </c>
      <c r="K169" s="41">
        <f>SUM(K163:K168)-0.01</f>
        <v>2075.6943306111111</v>
      </c>
      <c r="L169" s="41">
        <f t="shared" ref="L169:Q169" si="63">SUM(L163:L168)</f>
        <v>3586.8181631040002</v>
      </c>
      <c r="M169" s="41">
        <f t="shared" si="63"/>
        <v>26303.325277504002</v>
      </c>
      <c r="N169" s="41">
        <f t="shared" si="63"/>
        <v>1452.9930314277776</v>
      </c>
      <c r="O169" s="41">
        <f t="shared" si="63"/>
        <v>1162.3944251422222</v>
      </c>
      <c r="P169" s="41">
        <f t="shared" si="63"/>
        <v>1307.6937282849999</v>
      </c>
      <c r="Q169" s="41">
        <f t="shared" si="63"/>
        <v>1452.9930314277776</v>
      </c>
      <c r="R169" s="41"/>
      <c r="S169" s="41">
        <f>SUM(S163:S168)</f>
        <v>0</v>
      </c>
      <c r="T169" s="41">
        <f t="shared" ref="T169:AG169" si="64">SUM(T163:T168)</f>
        <v>0</v>
      </c>
      <c r="U169" s="41">
        <f t="shared" si="64"/>
        <v>0</v>
      </c>
      <c r="V169" s="41">
        <f t="shared" si="64"/>
        <v>0</v>
      </c>
      <c r="W169" s="41">
        <f t="shared" si="64"/>
        <v>0</v>
      </c>
      <c r="X169" s="41">
        <f t="shared" si="64"/>
        <v>0</v>
      </c>
      <c r="Y169" s="41">
        <f t="shared" si="64"/>
        <v>0</v>
      </c>
      <c r="Z169" s="41">
        <f t="shared" si="64"/>
        <v>0</v>
      </c>
      <c r="AA169" s="41">
        <f t="shared" si="64"/>
        <v>0</v>
      </c>
      <c r="AB169" s="41">
        <f t="shared" si="64"/>
        <v>0</v>
      </c>
      <c r="AC169" s="41">
        <f t="shared" si="64"/>
        <v>0</v>
      </c>
      <c r="AD169" s="41">
        <f t="shared" si="64"/>
        <v>0</v>
      </c>
      <c r="AE169" s="41">
        <f t="shared" si="64"/>
        <v>0</v>
      </c>
      <c r="AF169" s="41">
        <f t="shared" si="64"/>
        <v>0</v>
      </c>
      <c r="AG169" s="41">
        <f t="shared" si="64"/>
        <v>0</v>
      </c>
      <c r="AH169" s="55"/>
    </row>
    <row r="170" spans="1:34" x14ac:dyDescent="0.25">
      <c r="B170" s="4"/>
      <c r="C170" s="56"/>
      <c r="D170" s="56"/>
      <c r="E170" s="44"/>
      <c r="F170" s="44"/>
      <c r="G170" s="44"/>
      <c r="H170" s="44"/>
      <c r="I170" s="44"/>
      <c r="J170" s="44"/>
      <c r="K170" s="43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"/>
    </row>
    <row r="171" spans="1:34" ht="15.95" customHeight="1" x14ac:dyDescent="0.25">
      <c r="C171" s="181" t="s">
        <v>120</v>
      </c>
      <c r="D171" s="181"/>
      <c r="E171" s="181"/>
      <c r="F171" s="181"/>
      <c r="G171" s="181"/>
      <c r="H171" s="181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64"/>
      <c r="X171" s="2"/>
      <c r="Y171" s="2"/>
      <c r="Z171" s="2"/>
      <c r="AA171" s="2"/>
      <c r="AB171" s="2"/>
      <c r="AC171" s="2"/>
      <c r="AD171" s="52"/>
      <c r="AE171" s="52"/>
      <c r="AF171" s="52"/>
      <c r="AG171" s="69"/>
      <c r="AH171" s="4"/>
    </row>
    <row r="172" spans="1:34" ht="24" customHeight="1" x14ac:dyDescent="0.25">
      <c r="B172" s="4"/>
      <c r="C172" s="56"/>
      <c r="D172" s="56"/>
      <c r="E172" s="44"/>
      <c r="F172" s="44"/>
      <c r="G172" s="44"/>
      <c r="H172" s="44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54"/>
      <c r="Y172" s="54"/>
      <c r="Z172" s="54"/>
      <c r="AA172" s="54"/>
      <c r="AB172" s="54"/>
      <c r="AC172" s="54"/>
      <c r="AD172" s="52"/>
      <c r="AE172" s="52"/>
      <c r="AF172" s="52"/>
      <c r="AG172" s="53"/>
      <c r="AH172" s="4"/>
    </row>
    <row r="173" spans="1:34" ht="24" customHeight="1" x14ac:dyDescent="0.25">
      <c r="B173" s="4"/>
      <c r="C173" s="182" t="s">
        <v>101</v>
      </c>
      <c r="D173" s="182"/>
      <c r="E173" s="45"/>
      <c r="F173" s="45"/>
      <c r="G173" s="44"/>
      <c r="H173" s="44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54"/>
      <c r="Y173" s="54"/>
      <c r="Z173" s="54"/>
      <c r="AA173" s="54"/>
      <c r="AB173" s="54"/>
      <c r="AC173" s="54"/>
      <c r="AD173" s="52"/>
      <c r="AE173" s="52"/>
      <c r="AF173" s="52"/>
      <c r="AG173" s="53"/>
      <c r="AH173" s="4"/>
    </row>
    <row r="174" spans="1:34" ht="116.1" customHeight="1" x14ac:dyDescent="0.25">
      <c r="B174" s="173" t="s">
        <v>1</v>
      </c>
      <c r="C174" s="175" t="s">
        <v>56</v>
      </c>
      <c r="D174" s="167" t="s">
        <v>3</v>
      </c>
      <c r="E174" s="167" t="s">
        <v>4</v>
      </c>
      <c r="F174" s="167" t="s">
        <v>5</v>
      </c>
      <c r="G174" s="167" t="s">
        <v>6</v>
      </c>
      <c r="H174" s="167" t="s">
        <v>7</v>
      </c>
      <c r="I174" s="167" t="s">
        <v>8</v>
      </c>
      <c r="J174" s="167" t="s">
        <v>9</v>
      </c>
      <c r="K174" s="167" t="s">
        <v>57</v>
      </c>
      <c r="L174" s="23" t="s">
        <v>10</v>
      </c>
      <c r="M174" s="23" t="s">
        <v>10</v>
      </c>
      <c r="N174" s="23" t="s">
        <v>12</v>
      </c>
      <c r="O174" s="169" t="s">
        <v>13</v>
      </c>
      <c r="P174" s="170"/>
      <c r="Q174" s="171"/>
      <c r="R174" s="167" t="s">
        <v>14</v>
      </c>
      <c r="S174" s="183" t="s">
        <v>58</v>
      </c>
      <c r="T174" s="184"/>
      <c r="U174" s="184"/>
      <c r="V174" s="185"/>
      <c r="W174" s="165" t="s">
        <v>21</v>
      </c>
      <c r="X174" s="167" t="s">
        <v>9</v>
      </c>
      <c r="Y174" s="23" t="s">
        <v>245</v>
      </c>
      <c r="Z174" s="23" t="s">
        <v>246</v>
      </c>
      <c r="AA174" s="23" t="s">
        <v>157</v>
      </c>
      <c r="AB174" s="165" t="s">
        <v>59</v>
      </c>
      <c r="AC174" s="186" t="s">
        <v>18</v>
      </c>
      <c r="AD174" s="187"/>
      <c r="AE174" s="187"/>
      <c r="AF174" s="187"/>
      <c r="AG174" s="163" t="s">
        <v>19</v>
      </c>
      <c r="AH174" s="4"/>
    </row>
    <row r="175" spans="1:34" ht="51" x14ac:dyDescent="0.25">
      <c r="B175" s="174"/>
      <c r="C175" s="176"/>
      <c r="D175" s="168"/>
      <c r="E175" s="168"/>
      <c r="F175" s="168"/>
      <c r="G175" s="168"/>
      <c r="H175" s="168"/>
      <c r="I175" s="168"/>
      <c r="J175" s="168"/>
      <c r="K175" s="168"/>
      <c r="L175" s="23">
        <v>5.6</v>
      </c>
      <c r="M175" s="23">
        <v>5.6</v>
      </c>
      <c r="N175" s="23">
        <v>0.7</v>
      </c>
      <c r="O175" s="24">
        <v>0.8</v>
      </c>
      <c r="P175" s="25">
        <v>0.9</v>
      </c>
      <c r="Q175" s="29">
        <v>1</v>
      </c>
      <c r="R175" s="168"/>
      <c r="S175" s="30">
        <v>0.1</v>
      </c>
      <c r="T175" s="31">
        <v>0.2</v>
      </c>
      <c r="U175" s="31">
        <v>0.3</v>
      </c>
      <c r="V175" s="31">
        <v>0.1</v>
      </c>
      <c r="W175" s="166"/>
      <c r="X175" s="168"/>
      <c r="Y175" s="23">
        <v>10.4</v>
      </c>
      <c r="Z175" s="23">
        <v>5.6</v>
      </c>
      <c r="AA175" s="23"/>
      <c r="AB175" s="166"/>
      <c r="AC175" s="34" t="s">
        <v>20</v>
      </c>
      <c r="AD175" s="34" t="s">
        <v>21</v>
      </c>
      <c r="AE175" s="34" t="s">
        <v>22</v>
      </c>
      <c r="AF175" s="34" t="s">
        <v>23</v>
      </c>
      <c r="AG175" s="164"/>
      <c r="AH175" s="4"/>
    </row>
    <row r="176" spans="1:34" x14ac:dyDescent="0.25">
      <c r="B176" s="8"/>
      <c r="C176" s="9"/>
      <c r="D176" s="10">
        <v>0</v>
      </c>
      <c r="E176" s="10">
        <v>1</v>
      </c>
      <c r="F176" s="10">
        <v>2</v>
      </c>
      <c r="G176" s="10" t="s">
        <v>24</v>
      </c>
      <c r="H176" s="10" t="s">
        <v>25</v>
      </c>
      <c r="I176" s="10" t="s">
        <v>26</v>
      </c>
      <c r="J176" s="10" t="s">
        <v>27</v>
      </c>
      <c r="K176" s="26" t="s">
        <v>60</v>
      </c>
      <c r="L176" s="10" t="s">
        <v>61</v>
      </c>
      <c r="M176" s="10" t="s">
        <v>61</v>
      </c>
      <c r="N176" s="10" t="s">
        <v>62</v>
      </c>
      <c r="O176" s="10" t="s">
        <v>63</v>
      </c>
      <c r="P176" s="10" t="s">
        <v>63</v>
      </c>
      <c r="Q176" s="10" t="s">
        <v>63</v>
      </c>
      <c r="R176" s="10">
        <v>9</v>
      </c>
      <c r="S176" s="32" t="s">
        <v>163</v>
      </c>
      <c r="T176" s="32" t="s">
        <v>164</v>
      </c>
      <c r="U176" s="32" t="s">
        <v>165</v>
      </c>
      <c r="V176" s="32" t="s">
        <v>166</v>
      </c>
      <c r="W176" s="32" t="s">
        <v>64</v>
      </c>
      <c r="X176" s="10" t="s">
        <v>65</v>
      </c>
      <c r="Y176" s="10" t="s">
        <v>66</v>
      </c>
      <c r="Z176" s="10" t="s">
        <v>67</v>
      </c>
      <c r="AA176" s="10" t="s">
        <v>158</v>
      </c>
      <c r="AB176" s="10" t="s">
        <v>243</v>
      </c>
      <c r="AC176" s="10">
        <v>16</v>
      </c>
      <c r="AD176" s="32" t="s">
        <v>159</v>
      </c>
      <c r="AE176" s="32" t="s">
        <v>160</v>
      </c>
      <c r="AF176" s="32" t="s">
        <v>161</v>
      </c>
      <c r="AG176" s="10">
        <v>17</v>
      </c>
      <c r="AH176" s="4"/>
    </row>
    <row r="177" spans="1:34" x14ac:dyDescent="0.25">
      <c r="A177" s="1" t="s">
        <v>219</v>
      </c>
      <c r="B177" s="20">
        <v>1</v>
      </c>
      <c r="C177" s="20" t="s">
        <v>121</v>
      </c>
      <c r="D177" s="12">
        <v>2</v>
      </c>
      <c r="E177" s="15">
        <v>87.25</v>
      </c>
      <c r="F177" s="15">
        <f>+E177*1193.93</f>
        <v>104170.3925</v>
      </c>
      <c r="G177" s="15">
        <f>+F177/60</f>
        <v>1736.1732083333334</v>
      </c>
      <c r="H177" s="15">
        <f>+F177*1.5%</f>
        <v>1562.5558874999999</v>
      </c>
      <c r="I177" s="15">
        <f>+F177*0.5%</f>
        <v>520.85196250000001</v>
      </c>
      <c r="J177" s="15">
        <f>+G177+H177+I177</f>
        <v>3819.5810583333332</v>
      </c>
      <c r="K177" s="15">
        <f>J177/12</f>
        <v>318.29842152777775</v>
      </c>
      <c r="L177" s="15"/>
      <c r="M177" s="15">
        <f>J177*(100%+5.6%)</f>
        <v>4033.4775976000001</v>
      </c>
      <c r="N177" s="15">
        <f>K177*N175</f>
        <v>222.80889506944442</v>
      </c>
      <c r="O177" s="15">
        <f>+N177*O175</f>
        <v>178.24711605555555</v>
      </c>
      <c r="P177" s="15">
        <f>+N177*P175</f>
        <v>200.52800556249997</v>
      </c>
      <c r="Q177" s="15">
        <f>+N177*Q175</f>
        <v>222.80889506944442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40"/>
      <c r="AB177" s="15"/>
      <c r="AC177" s="15">
        <f>K177</f>
        <v>318.29842152777775</v>
      </c>
      <c r="AD177" s="15"/>
      <c r="AE177" s="15">
        <f>G177/12</f>
        <v>144.68110069444444</v>
      </c>
      <c r="AF177" s="35">
        <f>AE177/AC177*100</f>
        <v>45.45454545454546</v>
      </c>
      <c r="AG177" s="36"/>
      <c r="AH177" s="55"/>
    </row>
    <row r="178" spans="1:34" x14ac:dyDescent="0.25">
      <c r="A178" s="1" t="s">
        <v>220</v>
      </c>
      <c r="B178" s="20">
        <v>2</v>
      </c>
      <c r="C178" s="20" t="s">
        <v>122</v>
      </c>
      <c r="D178" s="12">
        <v>2</v>
      </c>
      <c r="E178" s="15">
        <v>86.95</v>
      </c>
      <c r="F178" s="15">
        <f t="shared" ref="F178:F186" si="65">+E178*1193.93</f>
        <v>103812.21350000001</v>
      </c>
      <c r="G178" s="15">
        <f t="shared" ref="G178:G186" si="66">+F178/60</f>
        <v>1730.2035583333336</v>
      </c>
      <c r="H178" s="15">
        <f t="shared" ref="H178:H186" si="67">+F178*1.5%</f>
        <v>1557.1832025000001</v>
      </c>
      <c r="I178" s="15">
        <f t="shared" ref="I178:I186" si="68">+F178*0.5%</f>
        <v>519.06106750000004</v>
      </c>
      <c r="J178" s="15">
        <v>3806.44</v>
      </c>
      <c r="K178" s="15">
        <f>J178/12</f>
        <v>317.20333333333332</v>
      </c>
      <c r="L178" s="15"/>
      <c r="M178" s="15">
        <f t="shared" ref="M178:M186" si="69">J178*(100%+5.6%)</f>
        <v>4019.6006400000001</v>
      </c>
      <c r="N178" s="15">
        <f>K178*N175</f>
        <v>222.04233333333332</v>
      </c>
      <c r="O178" s="15">
        <f>+N178*O175</f>
        <v>177.63386666666668</v>
      </c>
      <c r="P178" s="15">
        <f>+N178*P175</f>
        <v>199.8381</v>
      </c>
      <c r="Q178" s="15">
        <f>+N178*Q175</f>
        <v>222.04233333333332</v>
      </c>
      <c r="R178" s="15"/>
      <c r="S178" s="15"/>
      <c r="T178" s="15"/>
      <c r="U178" s="15"/>
      <c r="V178" s="15"/>
      <c r="W178" s="15"/>
      <c r="X178" s="15"/>
      <c r="Y178" s="15"/>
      <c r="Z178" s="15"/>
      <c r="AA178" s="40"/>
      <c r="AB178" s="40"/>
      <c r="AC178" s="40">
        <f t="shared" ref="AC178:AC186" si="70">K178</f>
        <v>317.20333333333332</v>
      </c>
      <c r="AD178" s="15"/>
      <c r="AE178" s="40">
        <f t="shared" ref="AE178:AE186" si="71">G178/12</f>
        <v>144.18362986111114</v>
      </c>
      <c r="AF178" s="50">
        <f t="shared" ref="AF178:AF186" si="72">AE178/AC178*100</f>
        <v>45.454638936469081</v>
      </c>
      <c r="AG178" s="36"/>
      <c r="AH178" s="55"/>
    </row>
    <row r="179" spans="1:34" x14ac:dyDescent="0.25">
      <c r="A179" s="1" t="s">
        <v>221</v>
      </c>
      <c r="B179" s="20">
        <v>3</v>
      </c>
      <c r="C179" s="20" t="s">
        <v>123</v>
      </c>
      <c r="D179" s="12">
        <v>2</v>
      </c>
      <c r="E179" s="15">
        <v>87.84</v>
      </c>
      <c r="F179" s="15">
        <f t="shared" si="65"/>
        <v>104874.81120000001</v>
      </c>
      <c r="G179" s="15">
        <f t="shared" si="66"/>
        <v>1747.9135200000003</v>
      </c>
      <c r="H179" s="15">
        <f t="shared" si="67"/>
        <v>1573.1221680000001</v>
      </c>
      <c r="I179" s="15">
        <f t="shared" si="68"/>
        <v>524.37405600000011</v>
      </c>
      <c r="J179" s="15">
        <v>3845.4</v>
      </c>
      <c r="K179" s="15">
        <f>J179/12</f>
        <v>320.45</v>
      </c>
      <c r="L179" s="15"/>
      <c r="M179" s="15">
        <f t="shared" si="69"/>
        <v>4060.7424000000001</v>
      </c>
      <c r="N179" s="15">
        <f>K179*N175</f>
        <v>224.31499999999997</v>
      </c>
      <c r="O179" s="15">
        <v>179.46</v>
      </c>
      <c r="P179" s="15">
        <v>201.89</v>
      </c>
      <c r="Q179" s="15">
        <f>+N179*Q175</f>
        <v>224.31499999999997</v>
      </c>
      <c r="R179" s="15"/>
      <c r="S179" s="15"/>
      <c r="T179" s="15"/>
      <c r="U179" s="15"/>
      <c r="V179" s="15"/>
      <c r="W179" s="15"/>
      <c r="X179" s="15"/>
      <c r="Y179" s="15"/>
      <c r="Z179" s="15"/>
      <c r="AA179" s="40"/>
      <c r="AB179" s="40"/>
      <c r="AC179" s="40">
        <f t="shared" si="70"/>
        <v>320.45</v>
      </c>
      <c r="AD179" s="15"/>
      <c r="AE179" s="40">
        <f t="shared" si="71"/>
        <v>145.65946000000002</v>
      </c>
      <c r="AF179" s="50">
        <f t="shared" si="72"/>
        <v>45.454660633484174</v>
      </c>
      <c r="AG179" s="36"/>
      <c r="AH179" s="55"/>
    </row>
    <row r="180" spans="1:34" x14ac:dyDescent="0.25">
      <c r="A180" s="1" t="s">
        <v>222</v>
      </c>
      <c r="B180" s="20">
        <v>4</v>
      </c>
      <c r="C180" s="20" t="s">
        <v>124</v>
      </c>
      <c r="D180" s="12">
        <v>2</v>
      </c>
      <c r="E180" s="15">
        <v>93.15</v>
      </c>
      <c r="F180" s="15">
        <f t="shared" si="65"/>
        <v>111214.57950000001</v>
      </c>
      <c r="G180" s="15">
        <v>1853.57</v>
      </c>
      <c r="H180" s="15">
        <f t="shared" si="67"/>
        <v>1668.2186925000001</v>
      </c>
      <c r="I180" s="15">
        <f t="shared" si="68"/>
        <v>556.07289750000007</v>
      </c>
      <c r="J180" s="15">
        <f t="shared" ref="J180:J186" si="73">+G180+H180+I180</f>
        <v>4077.8615900000004</v>
      </c>
      <c r="K180" s="15">
        <f>J180/12</f>
        <v>339.82179916666672</v>
      </c>
      <c r="L180" s="15"/>
      <c r="M180" s="15">
        <f t="shared" si="69"/>
        <v>4306.2218390400003</v>
      </c>
      <c r="N180" s="15">
        <v>237.87</v>
      </c>
      <c r="O180" s="15">
        <f>+N180*O175</f>
        <v>190.29600000000002</v>
      </c>
      <c r="P180" s="15">
        <f>+N180*P175</f>
        <v>214.083</v>
      </c>
      <c r="Q180" s="15">
        <f>+N180*Q175</f>
        <v>237.87</v>
      </c>
      <c r="R180" s="15"/>
      <c r="S180" s="15"/>
      <c r="T180" s="15"/>
      <c r="U180" s="15"/>
      <c r="V180" s="15"/>
      <c r="W180" s="15"/>
      <c r="X180" s="15"/>
      <c r="Y180" s="15"/>
      <c r="Z180" s="15"/>
      <c r="AA180" s="40"/>
      <c r="AB180" s="40"/>
      <c r="AC180" s="40">
        <f t="shared" si="70"/>
        <v>339.82179916666672</v>
      </c>
      <c r="AD180" s="15"/>
      <c r="AE180" s="40">
        <f t="shared" si="71"/>
        <v>154.46416666666667</v>
      </c>
      <c r="AF180" s="50">
        <f t="shared" si="72"/>
        <v>45.4544608513797</v>
      </c>
      <c r="AG180" s="36"/>
      <c r="AH180" s="55"/>
    </row>
    <row r="181" spans="1:34" x14ac:dyDescent="0.25">
      <c r="A181" s="1" t="s">
        <v>223</v>
      </c>
      <c r="B181" s="20">
        <v>5</v>
      </c>
      <c r="C181" s="20" t="s">
        <v>125</v>
      </c>
      <c r="D181" s="12">
        <v>2</v>
      </c>
      <c r="E181" s="15">
        <v>98.79</v>
      </c>
      <c r="F181" s="15">
        <f t="shared" si="65"/>
        <v>117948.34470000002</v>
      </c>
      <c r="G181" s="15">
        <v>1965.8</v>
      </c>
      <c r="H181" s="15">
        <v>1769.22</v>
      </c>
      <c r="I181" s="15">
        <f t="shared" si="68"/>
        <v>589.74172350000015</v>
      </c>
      <c r="J181" s="15">
        <f t="shared" si="73"/>
        <v>4324.7617234999998</v>
      </c>
      <c r="K181" s="15">
        <f>J181/12</f>
        <v>360.39681029166667</v>
      </c>
      <c r="L181" s="15"/>
      <c r="M181" s="15">
        <f t="shared" si="69"/>
        <v>4566.9483800159996</v>
      </c>
      <c r="N181" s="15">
        <f>+K181*N175</f>
        <v>252.27776720416665</v>
      </c>
      <c r="O181" s="15">
        <f>+N181*O175</f>
        <v>201.82221376333334</v>
      </c>
      <c r="P181" s="15">
        <f>+N181*P175</f>
        <v>227.04999048374998</v>
      </c>
      <c r="Q181" s="15">
        <f>+N181*Q175</f>
        <v>252.27776720416665</v>
      </c>
      <c r="R181" s="15"/>
      <c r="S181" s="15"/>
      <c r="T181" s="15"/>
      <c r="U181" s="15"/>
      <c r="V181" s="15"/>
      <c r="W181" s="15"/>
      <c r="X181" s="15"/>
      <c r="Y181" s="15"/>
      <c r="Z181" s="15"/>
      <c r="AA181" s="40"/>
      <c r="AB181" s="40"/>
      <c r="AC181" s="40">
        <f t="shared" si="70"/>
        <v>360.39681029166667</v>
      </c>
      <c r="AD181" s="15"/>
      <c r="AE181" s="40">
        <f t="shared" si="71"/>
        <v>163.81666666666666</v>
      </c>
      <c r="AF181" s="50">
        <f t="shared" si="72"/>
        <v>45.454527340042482</v>
      </c>
      <c r="AG181" s="36"/>
      <c r="AH181" s="55"/>
    </row>
    <row r="182" spans="1:34" x14ac:dyDescent="0.25">
      <c r="A182" s="1" t="s">
        <v>224</v>
      </c>
      <c r="B182" s="20">
        <v>6</v>
      </c>
      <c r="C182" s="20" t="s">
        <v>126</v>
      </c>
      <c r="D182" s="12">
        <v>2</v>
      </c>
      <c r="E182" s="15">
        <v>99.28</v>
      </c>
      <c r="F182" s="15">
        <f t="shared" si="65"/>
        <v>118533.37040000001</v>
      </c>
      <c r="G182" s="15">
        <v>1975.55</v>
      </c>
      <c r="H182" s="15">
        <f t="shared" si="67"/>
        <v>1778.0005560000002</v>
      </c>
      <c r="I182" s="15">
        <f t="shared" si="68"/>
        <v>592.66685200000006</v>
      </c>
      <c r="J182" s="15">
        <f t="shared" si="73"/>
        <v>4346.2174080000004</v>
      </c>
      <c r="K182" s="15">
        <v>362.19</v>
      </c>
      <c r="L182" s="15"/>
      <c r="M182" s="15">
        <f t="shared" si="69"/>
        <v>4589.6055828480003</v>
      </c>
      <c r="N182" s="15">
        <f>+K182*N175</f>
        <v>253.53299999999999</v>
      </c>
      <c r="O182" s="15">
        <v>202.82</v>
      </c>
      <c r="P182" s="15">
        <f>+N182*P175</f>
        <v>228.1797</v>
      </c>
      <c r="Q182" s="15">
        <f>+N182</f>
        <v>253.53299999999999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40"/>
      <c r="AB182" s="40"/>
      <c r="AC182" s="40">
        <f t="shared" si="70"/>
        <v>362.19</v>
      </c>
      <c r="AD182" s="15"/>
      <c r="AE182" s="40">
        <f t="shared" si="71"/>
        <v>164.62916666666666</v>
      </c>
      <c r="AF182" s="50">
        <f t="shared" si="72"/>
        <v>45.453813376036514</v>
      </c>
      <c r="AG182" s="36"/>
      <c r="AH182" s="55"/>
    </row>
    <row r="183" spans="1:34" x14ac:dyDescent="0.25">
      <c r="A183" s="1" t="s">
        <v>225</v>
      </c>
      <c r="B183" s="20">
        <v>7</v>
      </c>
      <c r="C183" s="20" t="s">
        <v>127</v>
      </c>
      <c r="D183" s="12">
        <v>2</v>
      </c>
      <c r="E183" s="15">
        <v>100.11</v>
      </c>
      <c r="F183" s="15">
        <f t="shared" si="65"/>
        <v>119524.33230000001</v>
      </c>
      <c r="G183" s="15">
        <f t="shared" si="66"/>
        <v>1992.0722050000002</v>
      </c>
      <c r="H183" s="15">
        <f t="shared" si="67"/>
        <v>1792.8649845</v>
      </c>
      <c r="I183" s="15">
        <f t="shared" si="68"/>
        <v>597.62166150000007</v>
      </c>
      <c r="J183" s="15">
        <v>4382.55</v>
      </c>
      <c r="K183" s="15">
        <f>J183/12</f>
        <v>365.21250000000003</v>
      </c>
      <c r="L183" s="15"/>
      <c r="M183" s="15">
        <f t="shared" si="69"/>
        <v>4627.9728000000005</v>
      </c>
      <c r="N183" s="15">
        <f>+K183*N175</f>
        <v>255.64875000000001</v>
      </c>
      <c r="O183" s="15">
        <f>+N183*O175</f>
        <v>204.51900000000001</v>
      </c>
      <c r="P183" s="15">
        <f>+N183*P175</f>
        <v>230.08387500000001</v>
      </c>
      <c r="Q183" s="15">
        <f>+N183*Q175</f>
        <v>255.64875000000001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40"/>
      <c r="AB183" s="40"/>
      <c r="AC183" s="40">
        <f t="shared" si="70"/>
        <v>365.21250000000003</v>
      </c>
      <c r="AD183" s="15"/>
      <c r="AE183" s="40">
        <f t="shared" si="71"/>
        <v>166.00601708333335</v>
      </c>
      <c r="AF183" s="50">
        <f t="shared" si="72"/>
        <v>45.454637254566407</v>
      </c>
      <c r="AG183" s="36"/>
      <c r="AH183" s="55"/>
    </row>
    <row r="184" spans="1:34" x14ac:dyDescent="0.25">
      <c r="A184" s="1" t="s">
        <v>226</v>
      </c>
      <c r="B184" s="20">
        <v>8</v>
      </c>
      <c r="C184" s="20" t="s">
        <v>128</v>
      </c>
      <c r="D184" s="12">
        <v>2</v>
      </c>
      <c r="E184" s="15">
        <v>99.5</v>
      </c>
      <c r="F184" s="15">
        <f t="shared" si="65"/>
        <v>118796.035</v>
      </c>
      <c r="G184" s="15">
        <f t="shared" si="66"/>
        <v>1979.9339166666666</v>
      </c>
      <c r="H184" s="15">
        <f t="shared" si="67"/>
        <v>1781.940525</v>
      </c>
      <c r="I184" s="15">
        <f t="shared" si="68"/>
        <v>593.98017500000003</v>
      </c>
      <c r="J184" s="15">
        <f t="shared" si="73"/>
        <v>4355.8546166666665</v>
      </c>
      <c r="K184" s="15">
        <f>J184/12</f>
        <v>362.98788472222219</v>
      </c>
      <c r="L184" s="15"/>
      <c r="M184" s="15">
        <f t="shared" si="69"/>
        <v>4599.7824751999997</v>
      </c>
      <c r="N184" s="15">
        <f>+K184*N175</f>
        <v>254.09151930555552</v>
      </c>
      <c r="O184" s="15">
        <f>+N184*O175</f>
        <v>203.27321544444442</v>
      </c>
      <c r="P184" s="15">
        <f>+N184*P175</f>
        <v>228.68236737499998</v>
      </c>
      <c r="Q184" s="15">
        <f>+N184*Q175</f>
        <v>254.09151930555552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40"/>
      <c r="AB184" s="40"/>
      <c r="AC184" s="40">
        <f t="shared" si="70"/>
        <v>362.98788472222219</v>
      </c>
      <c r="AD184" s="15"/>
      <c r="AE184" s="40">
        <f t="shared" si="71"/>
        <v>164.99449305555555</v>
      </c>
      <c r="AF184" s="50">
        <f t="shared" si="72"/>
        <v>45.45454545454546</v>
      </c>
      <c r="AG184" s="36"/>
      <c r="AH184" s="55"/>
    </row>
    <row r="185" spans="1:34" x14ac:dyDescent="0.25">
      <c r="A185" s="1" t="s">
        <v>176</v>
      </c>
      <c r="B185" s="20">
        <v>9</v>
      </c>
      <c r="C185" s="20" t="s">
        <v>129</v>
      </c>
      <c r="D185" s="12">
        <v>2</v>
      </c>
      <c r="E185" s="15">
        <v>99.9</v>
      </c>
      <c r="F185" s="15">
        <f t="shared" si="65"/>
        <v>119273.60700000002</v>
      </c>
      <c r="G185" s="15">
        <f t="shared" si="66"/>
        <v>1987.8934500000003</v>
      </c>
      <c r="H185" s="15">
        <f t="shared" si="67"/>
        <v>1789.1041050000001</v>
      </c>
      <c r="I185" s="15">
        <f t="shared" si="68"/>
        <v>596.36803500000008</v>
      </c>
      <c r="J185" s="15">
        <v>4373.3599999999997</v>
      </c>
      <c r="K185" s="15">
        <f>J185/12</f>
        <v>364.44666666666666</v>
      </c>
      <c r="L185" s="15"/>
      <c r="M185" s="15">
        <f t="shared" si="69"/>
        <v>4618.2681599999996</v>
      </c>
      <c r="N185" s="15">
        <v>255.12</v>
      </c>
      <c r="O185" s="15">
        <f>+N185*O175</f>
        <v>204.096</v>
      </c>
      <c r="P185" s="15">
        <f>+N185*P175</f>
        <v>229.608</v>
      </c>
      <c r="Q185" s="15">
        <f>+N185*Q175</f>
        <v>255.12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40"/>
      <c r="AB185" s="40"/>
      <c r="AC185" s="40">
        <f t="shared" si="70"/>
        <v>364.44666666666666</v>
      </c>
      <c r="AD185" s="15"/>
      <c r="AE185" s="40">
        <f t="shared" si="71"/>
        <v>165.65778750000001</v>
      </c>
      <c r="AF185" s="50">
        <f t="shared" si="72"/>
        <v>45.454603554246624</v>
      </c>
      <c r="AG185" s="36"/>
      <c r="AH185" s="55"/>
    </row>
    <row r="186" spans="1:34" x14ac:dyDescent="0.25">
      <c r="A186" s="1" t="s">
        <v>227</v>
      </c>
      <c r="B186" s="20">
        <v>10</v>
      </c>
      <c r="C186" s="20" t="s">
        <v>130</v>
      </c>
      <c r="D186" s="12">
        <v>2</v>
      </c>
      <c r="E186" s="15">
        <v>100.22</v>
      </c>
      <c r="F186" s="15">
        <f t="shared" si="65"/>
        <v>119655.6646</v>
      </c>
      <c r="G186" s="15">
        <f t="shared" si="66"/>
        <v>1994.2610766666667</v>
      </c>
      <c r="H186" s="15">
        <f t="shared" si="67"/>
        <v>1794.834969</v>
      </c>
      <c r="I186" s="15">
        <f t="shared" si="68"/>
        <v>598.278323</v>
      </c>
      <c r="J186" s="15">
        <f t="shared" si="73"/>
        <v>4387.3743686666667</v>
      </c>
      <c r="K186" s="15">
        <f>J186/12</f>
        <v>365.61453072222224</v>
      </c>
      <c r="L186" s="15"/>
      <c r="M186" s="15">
        <f t="shared" si="69"/>
        <v>4633.0673333120003</v>
      </c>
      <c r="N186" s="15">
        <f>+K186*N175</f>
        <v>255.93017150555556</v>
      </c>
      <c r="O186" s="15">
        <f>+N186*O175</f>
        <v>204.74413720444446</v>
      </c>
      <c r="P186" s="15">
        <f>+N186*P175</f>
        <v>230.33715435500002</v>
      </c>
      <c r="Q186" s="15">
        <f>+N186*Q175</f>
        <v>255.93017150555556</v>
      </c>
      <c r="R186" s="15">
        <v>2054.42</v>
      </c>
      <c r="S186" s="15">
        <f>R186*S175</f>
        <v>205.44200000000001</v>
      </c>
      <c r="T186" s="15">
        <v>0</v>
      </c>
      <c r="U186" s="15">
        <v>0</v>
      </c>
      <c r="V186" s="15">
        <v>0</v>
      </c>
      <c r="W186" s="15">
        <v>204.74</v>
      </c>
      <c r="X186" s="15">
        <v>2456.88</v>
      </c>
      <c r="Y186" s="15">
        <v>2712.4</v>
      </c>
      <c r="Z186" s="15">
        <v>2864.29</v>
      </c>
      <c r="AA186" s="40">
        <v>0</v>
      </c>
      <c r="AB186" s="40">
        <f>AA186/12</f>
        <v>0</v>
      </c>
      <c r="AC186" s="40">
        <f t="shared" si="70"/>
        <v>365.61453072222224</v>
      </c>
      <c r="AD186" s="15"/>
      <c r="AE186" s="40">
        <f t="shared" si="71"/>
        <v>166.18842305555555</v>
      </c>
      <c r="AF186" s="50">
        <f t="shared" si="72"/>
        <v>45.454545454545446</v>
      </c>
      <c r="AG186" s="36"/>
      <c r="AH186" s="55"/>
    </row>
    <row r="187" spans="1:34" x14ac:dyDescent="0.25">
      <c r="B187" s="9"/>
      <c r="C187" s="188" t="s">
        <v>77</v>
      </c>
      <c r="D187" s="188"/>
      <c r="E187" s="41">
        <f>SUM(E177:E186)</f>
        <v>952.99</v>
      </c>
      <c r="F187" s="41">
        <f>SUM(F177:F186)-0.01</f>
        <v>1137803.3407000001</v>
      </c>
      <c r="G187" s="41">
        <f>SUM(G177:G186)-0.01</f>
        <v>18963.360935000001</v>
      </c>
      <c r="H187" s="41">
        <f>SUM(H177:H186)-0.01</f>
        <v>17067.035090000001</v>
      </c>
      <c r="I187" s="41">
        <f>SUM(I177:I186)-0.01</f>
        <v>5689.0067535000017</v>
      </c>
      <c r="J187" s="41">
        <f>SUM(J177:J186)-0.01</f>
        <v>41719.39076516666</v>
      </c>
      <c r="K187" s="41">
        <f>SUM(K177:K186)</f>
        <v>3476.6219464305559</v>
      </c>
      <c r="L187" s="41"/>
      <c r="M187" s="41">
        <f>SUM(M177:M186)</f>
        <v>44055.687208016003</v>
      </c>
      <c r="N187" s="41">
        <f>SUM(N177:N186)+0.01</f>
        <v>2433.6474364180558</v>
      </c>
      <c r="O187" s="41">
        <f>SUM(O177:O186)</f>
        <v>1946.9115491344446</v>
      </c>
      <c r="P187" s="41">
        <f>SUM(P177:P186)</f>
        <v>2190.2801927762498</v>
      </c>
      <c r="Q187" s="41">
        <f>SUM(Q177:Q186)+0.01</f>
        <v>2433.6474364180558</v>
      </c>
      <c r="R187" s="41"/>
      <c r="S187" s="41">
        <f>SUM(S177:S186)</f>
        <v>205.44200000000001</v>
      </c>
      <c r="T187" s="41">
        <f t="shared" ref="T187:AG187" si="74">SUM(T177:T186)</f>
        <v>0</v>
      </c>
      <c r="U187" s="41">
        <f t="shared" si="74"/>
        <v>0</v>
      </c>
      <c r="V187" s="41">
        <f t="shared" si="74"/>
        <v>0</v>
      </c>
      <c r="W187" s="41">
        <f t="shared" si="74"/>
        <v>204.74</v>
      </c>
      <c r="X187" s="41">
        <f t="shared" si="74"/>
        <v>2456.88</v>
      </c>
      <c r="Y187" s="41">
        <f t="shared" si="74"/>
        <v>2712.4</v>
      </c>
      <c r="Z187" s="41">
        <f t="shared" si="74"/>
        <v>2864.29</v>
      </c>
      <c r="AA187" s="41">
        <f t="shared" si="74"/>
        <v>0</v>
      </c>
      <c r="AB187" s="41">
        <f t="shared" si="74"/>
        <v>0</v>
      </c>
      <c r="AC187" s="41">
        <f t="shared" si="74"/>
        <v>3476.6219464305559</v>
      </c>
      <c r="AD187" s="41">
        <f t="shared" si="74"/>
        <v>0</v>
      </c>
      <c r="AE187" s="41">
        <f t="shared" si="74"/>
        <v>1580.2809112499999</v>
      </c>
      <c r="AF187" s="41">
        <f t="shared" si="74"/>
        <v>454.54497830986134</v>
      </c>
      <c r="AG187" s="41">
        <f t="shared" si="74"/>
        <v>0</v>
      </c>
      <c r="AH187" s="55"/>
    </row>
    <row r="188" spans="1:34" x14ac:dyDescent="0.25">
      <c r="B188" s="4"/>
      <c r="C188" s="21"/>
      <c r="D188" s="21"/>
      <c r="E188" s="18"/>
      <c r="F188" s="18"/>
      <c r="G188" s="18"/>
      <c r="H188" s="18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"/>
    </row>
    <row r="189" spans="1:34" ht="20.25" x14ac:dyDescent="0.25">
      <c r="C189" s="5"/>
      <c r="D189" s="5"/>
      <c r="E189" s="5"/>
      <c r="F189" s="5"/>
      <c r="G189" s="5"/>
      <c r="H189" s="5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"/>
    </row>
    <row r="190" spans="1:34" ht="20.25" x14ac:dyDescent="0.25">
      <c r="C190" s="181" t="s">
        <v>131</v>
      </c>
      <c r="D190" s="181"/>
      <c r="E190" s="181"/>
      <c r="F190" s="181"/>
      <c r="G190" s="181"/>
      <c r="H190" s="181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"/>
    </row>
    <row r="191" spans="1:34" x14ac:dyDescent="0.25">
      <c r="B191" s="4"/>
      <c r="C191" s="56"/>
      <c r="D191" s="56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"/>
    </row>
    <row r="192" spans="1:34" ht="20.25" x14ac:dyDescent="0.25">
      <c r="B192" s="4"/>
      <c r="C192" s="182" t="s">
        <v>0</v>
      </c>
      <c r="D192" s="182"/>
      <c r="E192" s="45"/>
      <c r="F192" s="4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122.1" customHeight="1" x14ac:dyDescent="0.25">
      <c r="B194" s="173" t="s">
        <v>1</v>
      </c>
      <c r="C194" s="175" t="s">
        <v>56</v>
      </c>
      <c r="D194" s="167" t="s">
        <v>3</v>
      </c>
      <c r="E194" s="167" t="s">
        <v>4</v>
      </c>
      <c r="F194" s="167" t="s">
        <v>5</v>
      </c>
      <c r="G194" s="167" t="s">
        <v>6</v>
      </c>
      <c r="H194" s="167" t="s">
        <v>7</v>
      </c>
      <c r="I194" s="167" t="s">
        <v>8</v>
      </c>
      <c r="J194" s="167" t="s">
        <v>9</v>
      </c>
      <c r="K194" s="167" t="s">
        <v>57</v>
      </c>
      <c r="L194" s="23" t="s">
        <v>10</v>
      </c>
      <c r="M194" s="23" t="s">
        <v>10</v>
      </c>
      <c r="N194" s="23" t="s">
        <v>12</v>
      </c>
      <c r="O194" s="169" t="s">
        <v>13</v>
      </c>
      <c r="P194" s="170"/>
      <c r="Q194" s="171"/>
      <c r="R194" s="167" t="s">
        <v>14</v>
      </c>
      <c r="S194" s="183" t="s">
        <v>58</v>
      </c>
      <c r="T194" s="184"/>
      <c r="U194" s="184"/>
      <c r="V194" s="185"/>
      <c r="W194" s="165" t="s">
        <v>21</v>
      </c>
      <c r="X194" s="167" t="s">
        <v>9</v>
      </c>
      <c r="Y194" s="23" t="s">
        <v>245</v>
      </c>
      <c r="Z194" s="23" t="s">
        <v>246</v>
      </c>
      <c r="AA194" s="23" t="s">
        <v>157</v>
      </c>
      <c r="AB194" s="165" t="s">
        <v>59</v>
      </c>
      <c r="AC194" s="186" t="s">
        <v>18</v>
      </c>
      <c r="AD194" s="187"/>
      <c r="AE194" s="187"/>
      <c r="AF194" s="187"/>
      <c r="AG194" s="163" t="s">
        <v>19</v>
      </c>
      <c r="AH194" s="4"/>
    </row>
    <row r="195" spans="1:34" ht="51" x14ac:dyDescent="0.25">
      <c r="B195" s="174"/>
      <c r="C195" s="176"/>
      <c r="D195" s="168"/>
      <c r="E195" s="168"/>
      <c r="F195" s="168"/>
      <c r="G195" s="168"/>
      <c r="H195" s="168"/>
      <c r="I195" s="168"/>
      <c r="J195" s="168"/>
      <c r="K195" s="168"/>
      <c r="L195" s="23">
        <v>5.6</v>
      </c>
      <c r="M195" s="23">
        <v>5.6</v>
      </c>
      <c r="N195" s="23">
        <v>0.7</v>
      </c>
      <c r="O195" s="24">
        <v>0.8</v>
      </c>
      <c r="P195" s="25">
        <v>0.9</v>
      </c>
      <c r="Q195" s="29">
        <v>1</v>
      </c>
      <c r="R195" s="168"/>
      <c r="S195" s="30">
        <v>0.1</v>
      </c>
      <c r="T195" s="31">
        <v>0.2</v>
      </c>
      <c r="U195" s="31">
        <v>0.3</v>
      </c>
      <c r="V195" s="31">
        <v>0.1</v>
      </c>
      <c r="W195" s="166"/>
      <c r="X195" s="168"/>
      <c r="Y195" s="23">
        <v>10.4</v>
      </c>
      <c r="Z195" s="23">
        <v>5.6</v>
      </c>
      <c r="AA195" s="23"/>
      <c r="AB195" s="166"/>
      <c r="AC195" s="34" t="s">
        <v>20</v>
      </c>
      <c r="AD195" s="34" t="s">
        <v>21</v>
      </c>
      <c r="AE195" s="34" t="s">
        <v>22</v>
      </c>
      <c r="AF195" s="34" t="s">
        <v>23</v>
      </c>
      <c r="AG195" s="164"/>
      <c r="AH195" s="4"/>
    </row>
    <row r="196" spans="1:34" x14ac:dyDescent="0.25">
      <c r="B196" s="8"/>
      <c r="C196" s="9"/>
      <c r="D196" s="10">
        <v>0</v>
      </c>
      <c r="E196" s="10">
        <v>1</v>
      </c>
      <c r="F196" s="10">
        <v>2</v>
      </c>
      <c r="G196" s="10" t="s">
        <v>24</v>
      </c>
      <c r="H196" s="10" t="s">
        <v>25</v>
      </c>
      <c r="I196" s="10" t="s">
        <v>26</v>
      </c>
      <c r="J196" s="10" t="s">
        <v>27</v>
      </c>
      <c r="K196" s="26" t="s">
        <v>60</v>
      </c>
      <c r="L196" s="10" t="s">
        <v>61</v>
      </c>
      <c r="M196" s="10" t="s">
        <v>61</v>
      </c>
      <c r="N196" s="10" t="s">
        <v>62</v>
      </c>
      <c r="O196" s="10" t="s">
        <v>63</v>
      </c>
      <c r="P196" s="10" t="s">
        <v>63</v>
      </c>
      <c r="Q196" s="10" t="s">
        <v>63</v>
      </c>
      <c r="R196" s="10">
        <v>9</v>
      </c>
      <c r="S196" s="32" t="s">
        <v>163</v>
      </c>
      <c r="T196" s="32" t="s">
        <v>164</v>
      </c>
      <c r="U196" s="32" t="s">
        <v>165</v>
      </c>
      <c r="V196" s="32" t="s">
        <v>166</v>
      </c>
      <c r="W196" s="32" t="s">
        <v>64</v>
      </c>
      <c r="X196" s="10" t="s">
        <v>65</v>
      </c>
      <c r="Y196" s="10" t="s">
        <v>66</v>
      </c>
      <c r="Z196" s="10" t="s">
        <v>67</v>
      </c>
      <c r="AA196" s="10" t="s">
        <v>158</v>
      </c>
      <c r="AB196" s="10" t="s">
        <v>243</v>
      </c>
      <c r="AC196" s="10">
        <v>16</v>
      </c>
      <c r="AD196" s="32" t="s">
        <v>159</v>
      </c>
      <c r="AE196" s="32" t="s">
        <v>160</v>
      </c>
      <c r="AF196" s="32" t="s">
        <v>161</v>
      </c>
      <c r="AG196" s="10">
        <v>17</v>
      </c>
      <c r="AH196" s="4"/>
    </row>
    <row r="197" spans="1:34" ht="15" x14ac:dyDescent="0.25">
      <c r="A197" s="1" t="s">
        <v>228</v>
      </c>
      <c r="B197" s="133">
        <v>1</v>
      </c>
      <c r="C197" s="123" t="s">
        <v>132</v>
      </c>
      <c r="D197" s="134">
        <v>2</v>
      </c>
      <c r="E197" s="126">
        <v>87.96</v>
      </c>
      <c r="F197" s="125">
        <f>+E197*1193.52</f>
        <v>104982.0192</v>
      </c>
      <c r="G197" s="125">
        <f>+F197/60</f>
        <v>1749.7003199999999</v>
      </c>
      <c r="H197" s="125">
        <f>+F197*1.5%</f>
        <v>1574.730288</v>
      </c>
      <c r="I197" s="125">
        <v>0</v>
      </c>
      <c r="J197" s="125">
        <f>+G197+H197+I197</f>
        <v>3324.4306079999997</v>
      </c>
      <c r="K197" s="125">
        <f>+J197/12</f>
        <v>277.03588399999995</v>
      </c>
      <c r="L197" s="125"/>
      <c r="M197" s="125">
        <f>+J197*(100%+5.6%)</f>
        <v>3510.5987220479997</v>
      </c>
      <c r="N197" s="125">
        <f>+K197*N195</f>
        <v>193.92511879999995</v>
      </c>
      <c r="O197" s="125">
        <f>+N197*O195</f>
        <v>155.14009503999998</v>
      </c>
      <c r="P197" s="125">
        <f>+N197*P195</f>
        <v>174.53260691999995</v>
      </c>
      <c r="Q197" s="125">
        <f>+N197*Q195</f>
        <v>193.92511879999995</v>
      </c>
      <c r="R197" s="125"/>
      <c r="S197" s="125"/>
      <c r="T197" s="125"/>
      <c r="U197" s="125"/>
      <c r="V197" s="125"/>
      <c r="W197" s="125"/>
      <c r="X197" s="125"/>
      <c r="Y197" s="125">
        <v>0</v>
      </c>
      <c r="Z197" s="125">
        <v>0</v>
      </c>
      <c r="AA197" s="125"/>
      <c r="AB197" s="125"/>
      <c r="AC197" s="125"/>
      <c r="AD197" s="125"/>
      <c r="AE197" s="125"/>
      <c r="AF197" s="127"/>
      <c r="AG197" s="128"/>
      <c r="AH197" s="4"/>
    </row>
    <row r="198" spans="1:34" x14ac:dyDescent="0.25">
      <c r="B198" s="8"/>
      <c r="C198" s="177" t="s">
        <v>77</v>
      </c>
      <c r="D198" s="177"/>
      <c r="E198" s="16">
        <f>+E197</f>
        <v>87.96</v>
      </c>
      <c r="F198" s="16">
        <f t="shared" ref="F198:H198" si="75">SUM(F197:F197)</f>
        <v>104982.0192</v>
      </c>
      <c r="G198" s="16">
        <f t="shared" si="75"/>
        <v>1749.7003199999999</v>
      </c>
      <c r="H198" s="16">
        <f t="shared" si="75"/>
        <v>1574.730288</v>
      </c>
      <c r="I198" s="16">
        <f>+I197</f>
        <v>0</v>
      </c>
      <c r="J198" s="16">
        <f>SUM(J197:J197)</f>
        <v>3324.4306079999997</v>
      </c>
      <c r="K198" s="16">
        <f>+K197</f>
        <v>277.03588399999995</v>
      </c>
      <c r="L198" s="16"/>
      <c r="M198" s="16">
        <f>SUM(M197:M197)</f>
        <v>3510.5987220479997</v>
      </c>
      <c r="N198" s="16">
        <f>+N197</f>
        <v>193.92511879999995</v>
      </c>
      <c r="O198" s="16">
        <f>+O197</f>
        <v>155.14009503999998</v>
      </c>
      <c r="P198" s="16">
        <f>+P197</f>
        <v>174.53260691999995</v>
      </c>
      <c r="Q198" s="16">
        <f>+Q197</f>
        <v>193.92511879999995</v>
      </c>
      <c r="R198" s="16"/>
      <c r="S198" s="16">
        <f>SUM(S197)</f>
        <v>0</v>
      </c>
      <c r="T198" s="16">
        <f t="shared" ref="T198:AG198" si="76">SUM(T197)</f>
        <v>0</v>
      </c>
      <c r="U198" s="16">
        <f t="shared" si="76"/>
        <v>0</v>
      </c>
      <c r="V198" s="16">
        <f t="shared" si="76"/>
        <v>0</v>
      </c>
      <c r="W198" s="16">
        <f t="shared" si="76"/>
        <v>0</v>
      </c>
      <c r="X198" s="16">
        <f t="shared" si="76"/>
        <v>0</v>
      </c>
      <c r="Y198" s="16">
        <f t="shared" si="76"/>
        <v>0</v>
      </c>
      <c r="Z198" s="16">
        <f t="shared" si="76"/>
        <v>0</v>
      </c>
      <c r="AA198" s="16">
        <f t="shared" si="76"/>
        <v>0</v>
      </c>
      <c r="AB198" s="16">
        <f t="shared" si="76"/>
        <v>0</v>
      </c>
      <c r="AC198" s="16">
        <f t="shared" si="76"/>
        <v>0</v>
      </c>
      <c r="AD198" s="16">
        <f t="shared" si="76"/>
        <v>0</v>
      </c>
      <c r="AE198" s="16">
        <f t="shared" si="76"/>
        <v>0</v>
      </c>
      <c r="AF198" s="16">
        <f t="shared" si="76"/>
        <v>0</v>
      </c>
      <c r="AG198" s="16">
        <f t="shared" si="76"/>
        <v>0</v>
      </c>
      <c r="AH198" s="4"/>
    </row>
    <row r="199" spans="1:34" ht="20.25" x14ac:dyDescent="0.25">
      <c r="B199" s="4"/>
      <c r="C199" s="182" t="s">
        <v>101</v>
      </c>
      <c r="D199" s="182"/>
      <c r="E199" s="45"/>
      <c r="F199" s="45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"/>
    </row>
    <row r="200" spans="1:34" x14ac:dyDescent="0.25">
      <c r="B200" s="4"/>
      <c r="C200" s="4"/>
      <c r="D200" s="4"/>
      <c r="E200" s="4"/>
      <c r="F200" s="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"/>
    </row>
    <row r="201" spans="1:34" ht="121.5" customHeight="1" x14ac:dyDescent="0.25">
      <c r="B201" s="173" t="s">
        <v>1</v>
      </c>
      <c r="C201" s="175" t="s">
        <v>56</v>
      </c>
      <c r="D201" s="167" t="s">
        <v>3</v>
      </c>
      <c r="E201" s="167" t="s">
        <v>4</v>
      </c>
      <c r="F201" s="167" t="s">
        <v>5</v>
      </c>
      <c r="G201" s="167" t="s">
        <v>6</v>
      </c>
      <c r="H201" s="167" t="s">
        <v>7</v>
      </c>
      <c r="I201" s="167" t="s">
        <v>8</v>
      </c>
      <c r="J201" s="167" t="s">
        <v>9</v>
      </c>
      <c r="K201" s="167" t="s">
        <v>57</v>
      </c>
      <c r="L201" s="23" t="s">
        <v>10</v>
      </c>
      <c r="M201" s="23" t="s">
        <v>10</v>
      </c>
      <c r="N201" s="23" t="s">
        <v>12</v>
      </c>
      <c r="O201" s="169" t="s">
        <v>13</v>
      </c>
      <c r="P201" s="170"/>
      <c r="Q201" s="171"/>
      <c r="R201" s="167" t="s">
        <v>14</v>
      </c>
      <c r="S201" s="183" t="s">
        <v>58</v>
      </c>
      <c r="T201" s="184"/>
      <c r="U201" s="184"/>
      <c r="V201" s="185"/>
      <c r="W201" s="165" t="s">
        <v>21</v>
      </c>
      <c r="X201" s="167" t="s">
        <v>9</v>
      </c>
      <c r="Y201" s="23" t="s">
        <v>245</v>
      </c>
      <c r="Z201" s="23" t="s">
        <v>246</v>
      </c>
      <c r="AA201" s="23" t="s">
        <v>157</v>
      </c>
      <c r="AB201" s="165" t="s">
        <v>59</v>
      </c>
      <c r="AC201" s="186" t="s">
        <v>18</v>
      </c>
      <c r="AD201" s="187"/>
      <c r="AE201" s="187"/>
      <c r="AF201" s="187"/>
      <c r="AG201" s="163" t="s">
        <v>19</v>
      </c>
      <c r="AH201" s="4"/>
    </row>
    <row r="202" spans="1:34" ht="51" x14ac:dyDescent="0.25">
      <c r="B202" s="174"/>
      <c r="C202" s="176"/>
      <c r="D202" s="168"/>
      <c r="E202" s="168"/>
      <c r="F202" s="168"/>
      <c r="G202" s="168"/>
      <c r="H202" s="168"/>
      <c r="I202" s="168"/>
      <c r="J202" s="168"/>
      <c r="K202" s="168"/>
      <c r="L202" s="23">
        <v>5.6</v>
      </c>
      <c r="M202" s="23">
        <v>5.6</v>
      </c>
      <c r="N202" s="23">
        <v>0.7</v>
      </c>
      <c r="O202" s="24">
        <v>0.8</v>
      </c>
      <c r="P202" s="25">
        <v>0.9</v>
      </c>
      <c r="Q202" s="29">
        <v>1</v>
      </c>
      <c r="R202" s="168"/>
      <c r="S202" s="30">
        <v>0.1</v>
      </c>
      <c r="T202" s="31">
        <v>0.2</v>
      </c>
      <c r="U202" s="31">
        <v>0.3</v>
      </c>
      <c r="V202" s="31">
        <v>0.1</v>
      </c>
      <c r="W202" s="166"/>
      <c r="X202" s="168"/>
      <c r="Y202" s="23">
        <v>10.4</v>
      </c>
      <c r="Z202" s="23">
        <v>5.6</v>
      </c>
      <c r="AA202" s="23"/>
      <c r="AB202" s="166"/>
      <c r="AC202" s="34" t="s">
        <v>20</v>
      </c>
      <c r="AD202" s="34" t="s">
        <v>21</v>
      </c>
      <c r="AE202" s="34" t="s">
        <v>22</v>
      </c>
      <c r="AF202" s="34" t="s">
        <v>23</v>
      </c>
      <c r="AG202" s="164"/>
      <c r="AH202" s="4"/>
    </row>
    <row r="203" spans="1:34" x14ac:dyDescent="0.25">
      <c r="B203" s="8"/>
      <c r="C203" s="9"/>
      <c r="D203" s="10">
        <v>0</v>
      </c>
      <c r="E203" s="10">
        <v>1</v>
      </c>
      <c r="F203" s="10">
        <v>2</v>
      </c>
      <c r="G203" s="10" t="s">
        <v>24</v>
      </c>
      <c r="H203" s="10" t="s">
        <v>25</v>
      </c>
      <c r="I203" s="10" t="s">
        <v>26</v>
      </c>
      <c r="J203" s="10" t="s">
        <v>27</v>
      </c>
      <c r="K203" s="26" t="s">
        <v>60</v>
      </c>
      <c r="L203" s="10" t="s">
        <v>61</v>
      </c>
      <c r="M203" s="10" t="s">
        <v>61</v>
      </c>
      <c r="N203" s="10" t="s">
        <v>62</v>
      </c>
      <c r="O203" s="10" t="s">
        <v>63</v>
      </c>
      <c r="P203" s="10" t="s">
        <v>63</v>
      </c>
      <c r="Q203" s="10" t="s">
        <v>63</v>
      </c>
      <c r="R203" s="10">
        <v>9</v>
      </c>
      <c r="S203" s="32" t="s">
        <v>163</v>
      </c>
      <c r="T203" s="32" t="s">
        <v>164</v>
      </c>
      <c r="U203" s="32" t="s">
        <v>165</v>
      </c>
      <c r="V203" s="32" t="s">
        <v>166</v>
      </c>
      <c r="W203" s="32" t="s">
        <v>64</v>
      </c>
      <c r="X203" s="10" t="s">
        <v>65</v>
      </c>
      <c r="Y203" s="10" t="s">
        <v>66</v>
      </c>
      <c r="Z203" s="10" t="s">
        <v>67</v>
      </c>
      <c r="AA203" s="10" t="s">
        <v>158</v>
      </c>
      <c r="AB203" s="10" t="s">
        <v>243</v>
      </c>
      <c r="AC203" s="10">
        <v>16</v>
      </c>
      <c r="AD203" s="32" t="s">
        <v>159</v>
      </c>
      <c r="AE203" s="32" t="s">
        <v>160</v>
      </c>
      <c r="AF203" s="32" t="s">
        <v>161</v>
      </c>
      <c r="AG203" s="10">
        <v>17</v>
      </c>
      <c r="AH203" s="4"/>
    </row>
    <row r="204" spans="1:34" x14ac:dyDescent="0.25">
      <c r="A204" s="1" t="s">
        <v>229</v>
      </c>
      <c r="B204" s="20">
        <v>1</v>
      </c>
      <c r="C204" s="20" t="s">
        <v>133</v>
      </c>
      <c r="D204" s="12">
        <v>2</v>
      </c>
      <c r="E204" s="20">
        <v>87.95</v>
      </c>
      <c r="F204" s="15">
        <f>+E204*1193.52</f>
        <v>104970.084</v>
      </c>
      <c r="G204" s="15">
        <f>+F204/60</f>
        <v>1749.5014000000001</v>
      </c>
      <c r="H204" s="15">
        <f>+F204*1.5%</f>
        <v>1574.55126</v>
      </c>
      <c r="I204" s="15">
        <f>+F204*0.5%</f>
        <v>524.85041999999999</v>
      </c>
      <c r="J204" s="15">
        <f>+G204+H204+I204</f>
        <v>3848.90308</v>
      </c>
      <c r="K204" s="15">
        <f>+J204/12</f>
        <v>320.74192333333332</v>
      </c>
      <c r="L204" s="15"/>
      <c r="M204" s="15">
        <f>J204*(100%+5.6%)</f>
        <v>4064.4416524800004</v>
      </c>
      <c r="N204" s="15">
        <f>+K204*N202</f>
        <v>224.51934633333332</v>
      </c>
      <c r="O204" s="15">
        <f>+N204*O202</f>
        <v>179.61547706666667</v>
      </c>
      <c r="P204" s="15">
        <f>+N204*P202</f>
        <v>202.06741169999998</v>
      </c>
      <c r="Q204" s="15">
        <f>+N204*Q202</f>
        <v>224.51934633333332</v>
      </c>
      <c r="R204" s="15"/>
      <c r="S204" s="15"/>
      <c r="T204" s="15"/>
      <c r="U204" s="15"/>
      <c r="V204" s="15"/>
      <c r="W204" s="15"/>
      <c r="X204" s="15"/>
      <c r="Y204" s="15"/>
      <c r="Z204" s="15"/>
      <c r="AA204" s="40"/>
      <c r="AB204" s="15"/>
      <c r="AC204" s="15"/>
      <c r="AD204" s="15"/>
      <c r="AE204" s="15"/>
      <c r="AF204" s="35"/>
      <c r="AG204" s="36"/>
      <c r="AH204" s="4"/>
    </row>
    <row r="205" spans="1:34" x14ac:dyDescent="0.25">
      <c r="A205" s="1" t="s">
        <v>230</v>
      </c>
      <c r="B205" s="20">
        <v>2</v>
      </c>
      <c r="C205" s="20" t="s">
        <v>134</v>
      </c>
      <c r="D205" s="12">
        <v>2</v>
      </c>
      <c r="E205" s="20">
        <v>86.82</v>
      </c>
      <c r="F205" s="15">
        <f>+E205*1193.52</f>
        <v>103621.40639999999</v>
      </c>
      <c r="G205" s="15">
        <v>1727.03</v>
      </c>
      <c r="H205" s="15">
        <f>+F205*1.5%</f>
        <v>1554.3210959999999</v>
      </c>
      <c r="I205" s="15">
        <f>+F205*0.5%</f>
        <v>518.107032</v>
      </c>
      <c r="J205" s="15">
        <f>+G205+H205+I205</f>
        <v>3799.4581279999998</v>
      </c>
      <c r="K205" s="15">
        <f>+J205/12</f>
        <v>316.62151066666667</v>
      </c>
      <c r="L205" s="15"/>
      <c r="M205" s="15">
        <f>J205*(100%+5.6%)</f>
        <v>4012.2277831679999</v>
      </c>
      <c r="N205" s="15">
        <v>221.63</v>
      </c>
      <c r="O205" s="15">
        <f>+N205*O202</f>
        <v>177.304</v>
      </c>
      <c r="P205" s="15">
        <f>+N205*P202</f>
        <v>199.46700000000001</v>
      </c>
      <c r="Q205" s="15">
        <f>+N205*Q202</f>
        <v>221.63</v>
      </c>
      <c r="R205" s="15"/>
      <c r="S205" s="15"/>
      <c r="T205" s="15"/>
      <c r="U205" s="15"/>
      <c r="V205" s="15"/>
      <c r="W205" s="15"/>
      <c r="X205" s="15"/>
      <c r="Y205" s="15"/>
      <c r="Z205" s="15"/>
      <c r="AA205" s="40"/>
      <c r="AB205" s="40"/>
      <c r="AC205" s="15"/>
      <c r="AD205" s="15"/>
      <c r="AE205" s="15"/>
      <c r="AF205" s="35"/>
      <c r="AG205" s="36"/>
      <c r="AH205" s="4"/>
    </row>
    <row r="206" spans="1:34" x14ac:dyDescent="0.25">
      <c r="A206" s="1" t="s">
        <v>231</v>
      </c>
      <c r="B206" s="20">
        <v>3</v>
      </c>
      <c r="C206" s="20" t="s">
        <v>135</v>
      </c>
      <c r="D206" s="12">
        <v>2</v>
      </c>
      <c r="E206" s="20">
        <v>87.51</v>
      </c>
      <c r="F206" s="15">
        <f>+E206*1193.52</f>
        <v>104444.93520000001</v>
      </c>
      <c r="G206" s="15">
        <f>+F206/60</f>
        <v>1740.7489200000002</v>
      </c>
      <c r="H206" s="15">
        <v>1566.68</v>
      </c>
      <c r="I206" s="15">
        <v>522.23</v>
      </c>
      <c r="J206" s="15">
        <f>+G206+H206+I206</f>
        <v>3829.6589200000003</v>
      </c>
      <c r="K206" s="15">
        <f>+J206/12</f>
        <v>319.13824333333338</v>
      </c>
      <c r="L206" s="15"/>
      <c r="M206" s="15">
        <f>J206*(100%+5.6%)</f>
        <v>4044.1198195200004</v>
      </c>
      <c r="N206" s="15">
        <f>+K206*N202</f>
        <v>223.39677033333336</v>
      </c>
      <c r="O206" s="15">
        <f>+N206*O202</f>
        <v>178.7174162666667</v>
      </c>
      <c r="P206" s="15">
        <f>+N206*P202</f>
        <v>201.05709330000002</v>
      </c>
      <c r="Q206" s="15">
        <f>+N206*Q202</f>
        <v>223.39677033333336</v>
      </c>
      <c r="R206" s="15"/>
      <c r="S206" s="15"/>
      <c r="T206" s="15"/>
      <c r="U206" s="15"/>
      <c r="V206" s="15"/>
      <c r="W206" s="15"/>
      <c r="X206" s="15"/>
      <c r="Y206" s="15"/>
      <c r="Z206" s="15"/>
      <c r="AA206" s="40"/>
      <c r="AB206" s="40"/>
      <c r="AC206" s="15"/>
      <c r="AD206" s="15"/>
      <c r="AE206" s="15"/>
      <c r="AF206" s="35"/>
      <c r="AG206" s="36"/>
      <c r="AH206" s="4"/>
    </row>
    <row r="207" spans="1:34" x14ac:dyDescent="0.25">
      <c r="A207" s="1" t="s">
        <v>232</v>
      </c>
      <c r="B207" s="20">
        <v>4</v>
      </c>
      <c r="C207" s="20" t="s">
        <v>136</v>
      </c>
      <c r="D207" s="12">
        <v>2</v>
      </c>
      <c r="E207" s="20">
        <v>92.99</v>
      </c>
      <c r="F207" s="15">
        <f>+E207*1193.52</f>
        <v>110985.42479999999</v>
      </c>
      <c r="G207" s="15">
        <f>+F207/60</f>
        <v>1849.7570799999999</v>
      </c>
      <c r="H207" s="15">
        <f>+F207*1.5%</f>
        <v>1664.7813719999999</v>
      </c>
      <c r="I207" s="15">
        <f>+F207*0.5%</f>
        <v>554.92712399999994</v>
      </c>
      <c r="J207" s="15">
        <f>+G207+H207+I207</f>
        <v>4069.4655759999996</v>
      </c>
      <c r="K207" s="15">
        <f>+J207/12</f>
        <v>339.1221313333333</v>
      </c>
      <c r="L207" s="15"/>
      <c r="M207" s="15">
        <f>J207*(100%+5.6%)</f>
        <v>4297.3556482559998</v>
      </c>
      <c r="N207" s="15">
        <v>237.38</v>
      </c>
      <c r="O207" s="15">
        <f>+N207*O202</f>
        <v>189.904</v>
      </c>
      <c r="P207" s="15">
        <f>+N207*P202</f>
        <v>213.642</v>
      </c>
      <c r="Q207" s="15">
        <f>+N207*Q202</f>
        <v>237.38</v>
      </c>
      <c r="R207" s="15"/>
      <c r="S207" s="15"/>
      <c r="T207" s="15"/>
      <c r="U207" s="15"/>
      <c r="V207" s="15"/>
      <c r="W207" s="15"/>
      <c r="X207" s="15"/>
      <c r="Y207" s="15"/>
      <c r="Z207" s="15"/>
      <c r="AA207" s="40"/>
      <c r="AB207" s="40"/>
      <c r="AC207" s="15"/>
      <c r="AD207" s="15"/>
      <c r="AE207" s="15"/>
      <c r="AF207" s="35"/>
      <c r="AG207" s="36"/>
      <c r="AH207" s="4"/>
    </row>
    <row r="208" spans="1:34" x14ac:dyDescent="0.25">
      <c r="A208" s="1" t="s">
        <v>233</v>
      </c>
      <c r="B208" s="20">
        <v>5</v>
      </c>
      <c r="C208" s="20" t="s">
        <v>137</v>
      </c>
      <c r="D208" s="12">
        <v>2</v>
      </c>
      <c r="E208" s="20">
        <v>101.07</v>
      </c>
      <c r="F208" s="15">
        <f>+E208*1193.52</f>
        <v>120629.0664</v>
      </c>
      <c r="G208" s="15">
        <v>2010.49</v>
      </c>
      <c r="H208" s="15">
        <f>+F208*1.5%</f>
        <v>1809.4359959999999</v>
      </c>
      <c r="I208" s="15">
        <f>+F208*0.5%</f>
        <v>603.14533199999994</v>
      </c>
      <c r="J208" s="15">
        <v>4423.08</v>
      </c>
      <c r="K208" s="15">
        <f>+J208/12</f>
        <v>368.59</v>
      </c>
      <c r="L208" s="15"/>
      <c r="M208" s="15">
        <f>J208*(100%+5.6%)</f>
        <v>4670.7724800000005</v>
      </c>
      <c r="N208" s="15">
        <f>+K208*N202</f>
        <v>258.01299999999998</v>
      </c>
      <c r="O208" s="15">
        <f>+N208*O202</f>
        <v>206.41039999999998</v>
      </c>
      <c r="P208" s="15">
        <f>+N208*P202</f>
        <v>232.21169999999998</v>
      </c>
      <c r="Q208" s="15">
        <f>+N208*Q202</f>
        <v>258.01299999999998</v>
      </c>
      <c r="R208" s="15"/>
      <c r="S208" s="15"/>
      <c r="T208" s="15"/>
      <c r="U208" s="15"/>
      <c r="V208" s="15"/>
      <c r="W208" s="15"/>
      <c r="X208" s="15"/>
      <c r="Y208" s="15"/>
      <c r="Z208" s="15"/>
      <c r="AA208" s="40"/>
      <c r="AB208" s="40"/>
      <c r="AC208" s="15"/>
      <c r="AD208" s="15"/>
      <c r="AE208" s="15"/>
      <c r="AF208" s="35"/>
      <c r="AG208" s="36"/>
      <c r="AH208" s="4"/>
    </row>
    <row r="209" spans="1:34" x14ac:dyDescent="0.25">
      <c r="B209" s="8"/>
      <c r="C209" s="177" t="s">
        <v>77</v>
      </c>
      <c r="D209" s="177"/>
      <c r="E209" s="16">
        <f>SUM(E204:E208)</f>
        <v>456.34</v>
      </c>
      <c r="F209" s="16">
        <f>SUM(F204:F208)</f>
        <v>544650.91680000001</v>
      </c>
      <c r="G209" s="16">
        <f>SUM(G204:G208)</f>
        <v>9077.527399999999</v>
      </c>
      <c r="H209" s="16">
        <f>SUM(H204:H208)</f>
        <v>8169.7697239999998</v>
      </c>
      <c r="I209" s="63">
        <f>SUM(I204:I208)+0.01</f>
        <v>2723.2699080000002</v>
      </c>
      <c r="J209" s="16">
        <f>SUM(J204:J208)</f>
        <v>19970.565704000001</v>
      </c>
      <c r="K209" s="16">
        <f>SUM(K204:K208)</f>
        <v>1664.2138086666666</v>
      </c>
      <c r="L209" s="16"/>
      <c r="M209" s="16">
        <f>SUM(M204:M208)</f>
        <v>21088.917383423999</v>
      </c>
      <c r="N209" s="16">
        <f>SUM(N204:N208)</f>
        <v>1164.9391166666667</v>
      </c>
      <c r="O209" s="16">
        <f>SUM(O204:O208)</f>
        <v>931.9512933333333</v>
      </c>
      <c r="P209" s="16">
        <f>SUM(P204:P208)</f>
        <v>1048.445205</v>
      </c>
      <c r="Q209" s="16">
        <f>SUM(Q204:Q208)</f>
        <v>1164.9391166666667</v>
      </c>
      <c r="R209" s="16"/>
      <c r="S209" s="16">
        <f>SUM(S204:S208)</f>
        <v>0</v>
      </c>
      <c r="T209" s="16">
        <f t="shared" ref="T209:AG209" si="77">SUM(T204:T208)</f>
        <v>0</v>
      </c>
      <c r="U209" s="16">
        <f t="shared" si="77"/>
        <v>0</v>
      </c>
      <c r="V209" s="16">
        <f t="shared" si="77"/>
        <v>0</v>
      </c>
      <c r="W209" s="16">
        <f t="shared" si="77"/>
        <v>0</v>
      </c>
      <c r="X209" s="16">
        <f t="shared" si="77"/>
        <v>0</v>
      </c>
      <c r="Y209" s="16">
        <f t="shared" si="77"/>
        <v>0</v>
      </c>
      <c r="Z209" s="16">
        <f t="shared" si="77"/>
        <v>0</v>
      </c>
      <c r="AA209" s="16">
        <f t="shared" si="77"/>
        <v>0</v>
      </c>
      <c r="AB209" s="16">
        <f t="shared" si="77"/>
        <v>0</v>
      </c>
      <c r="AC209" s="16">
        <f t="shared" si="77"/>
        <v>0</v>
      </c>
      <c r="AD209" s="16">
        <f t="shared" si="77"/>
        <v>0</v>
      </c>
      <c r="AE209" s="16">
        <f t="shared" si="77"/>
        <v>0</v>
      </c>
      <c r="AF209" s="16">
        <f t="shared" si="77"/>
        <v>0</v>
      </c>
      <c r="AG209" s="16">
        <f t="shared" si="77"/>
        <v>0</v>
      </c>
      <c r="AH209" s="4"/>
    </row>
    <row r="210" spans="1:34" x14ac:dyDescent="0.25">
      <c r="B210" s="4"/>
      <c r="C210" s="56"/>
      <c r="D210" s="56"/>
      <c r="E210" s="44"/>
      <c r="F210" s="44"/>
      <c r="G210" s="44"/>
      <c r="H210" s="44"/>
      <c r="I210" s="60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"/>
    </row>
    <row r="211" spans="1:34" x14ac:dyDescent="0.25">
      <c r="B211" s="4"/>
      <c r="C211" s="56"/>
      <c r="D211" s="56"/>
      <c r="E211" s="44"/>
      <c r="F211" s="44"/>
      <c r="G211" s="44"/>
      <c r="H211" s="44"/>
      <c r="I211" s="60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"/>
    </row>
    <row r="212" spans="1:34" x14ac:dyDescent="0.25">
      <c r="B212" s="4"/>
      <c r="C212" s="56"/>
      <c r="D212" s="56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"/>
    </row>
    <row r="213" spans="1:34" ht="20.25" x14ac:dyDescent="0.25">
      <c r="C213" s="181" t="s">
        <v>138</v>
      </c>
      <c r="D213" s="181"/>
      <c r="E213" s="181"/>
      <c r="F213" s="181"/>
      <c r="G213" s="181"/>
      <c r="H213" s="181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"/>
    </row>
    <row r="214" spans="1:34" x14ac:dyDescent="0.25">
      <c r="B214" s="4"/>
      <c r="C214" s="56"/>
      <c r="D214" s="56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"/>
    </row>
    <row r="215" spans="1:34" ht="20.25" x14ac:dyDescent="0.25">
      <c r="B215" s="4"/>
      <c r="C215" s="182" t="s">
        <v>0</v>
      </c>
      <c r="D215" s="182"/>
      <c r="E215" s="45"/>
      <c r="F215" s="45"/>
      <c r="G215" s="4"/>
      <c r="H215" s="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"/>
    </row>
    <row r="216" spans="1:34" x14ac:dyDescent="0.25">
      <c r="B216" s="4"/>
      <c r="C216" s="56"/>
      <c r="D216" s="56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"/>
    </row>
    <row r="217" spans="1:34" ht="113.1" customHeight="1" x14ac:dyDescent="0.25">
      <c r="B217" s="173" t="s">
        <v>1</v>
      </c>
      <c r="C217" s="175" t="s">
        <v>56</v>
      </c>
      <c r="D217" s="167" t="s">
        <v>3</v>
      </c>
      <c r="E217" s="167" t="s">
        <v>4</v>
      </c>
      <c r="F217" s="167" t="s">
        <v>5</v>
      </c>
      <c r="G217" s="167" t="s">
        <v>6</v>
      </c>
      <c r="H217" s="167" t="s">
        <v>7</v>
      </c>
      <c r="I217" s="167" t="s">
        <v>8</v>
      </c>
      <c r="J217" s="167" t="s">
        <v>9</v>
      </c>
      <c r="K217" s="167" t="s">
        <v>57</v>
      </c>
      <c r="L217" s="23" t="s">
        <v>10</v>
      </c>
      <c r="M217" s="23" t="s">
        <v>10</v>
      </c>
      <c r="N217" s="23" t="s">
        <v>12</v>
      </c>
      <c r="O217" s="169" t="s">
        <v>13</v>
      </c>
      <c r="P217" s="170"/>
      <c r="Q217" s="171"/>
      <c r="R217" s="167" t="s">
        <v>14</v>
      </c>
      <c r="S217" s="183" t="s">
        <v>58</v>
      </c>
      <c r="T217" s="184"/>
      <c r="U217" s="184"/>
      <c r="V217" s="185"/>
      <c r="W217" s="165" t="s">
        <v>21</v>
      </c>
      <c r="X217" s="167" t="s">
        <v>9</v>
      </c>
      <c r="Y217" s="23" t="s">
        <v>245</v>
      </c>
      <c r="Z217" s="23" t="s">
        <v>246</v>
      </c>
      <c r="AA217" s="23" t="s">
        <v>157</v>
      </c>
      <c r="AB217" s="165" t="s">
        <v>59</v>
      </c>
      <c r="AC217" s="186" t="s">
        <v>18</v>
      </c>
      <c r="AD217" s="187"/>
      <c r="AE217" s="187"/>
      <c r="AF217" s="187"/>
      <c r="AG217" s="163" t="s">
        <v>19</v>
      </c>
      <c r="AH217" s="4"/>
    </row>
    <row r="218" spans="1:34" ht="51" x14ac:dyDescent="0.25">
      <c r="B218" s="174"/>
      <c r="C218" s="176"/>
      <c r="D218" s="168"/>
      <c r="E218" s="168"/>
      <c r="F218" s="168"/>
      <c r="G218" s="168"/>
      <c r="H218" s="168"/>
      <c r="I218" s="168"/>
      <c r="J218" s="168"/>
      <c r="K218" s="168"/>
      <c r="L218" s="23">
        <v>5.6</v>
      </c>
      <c r="M218" s="23">
        <v>5.6</v>
      </c>
      <c r="N218" s="23">
        <v>0.7</v>
      </c>
      <c r="O218" s="24">
        <v>0.8</v>
      </c>
      <c r="P218" s="25">
        <v>0.9</v>
      </c>
      <c r="Q218" s="29">
        <v>1</v>
      </c>
      <c r="R218" s="168"/>
      <c r="S218" s="30">
        <v>0.1</v>
      </c>
      <c r="T218" s="31">
        <v>0.2</v>
      </c>
      <c r="U218" s="31">
        <v>0.3</v>
      </c>
      <c r="V218" s="31">
        <v>0.1</v>
      </c>
      <c r="W218" s="166"/>
      <c r="X218" s="168"/>
      <c r="Y218" s="23">
        <v>10.4</v>
      </c>
      <c r="Z218" s="23">
        <v>5.6</v>
      </c>
      <c r="AA218" s="23"/>
      <c r="AB218" s="166"/>
      <c r="AC218" s="34" t="s">
        <v>20</v>
      </c>
      <c r="AD218" s="34" t="s">
        <v>21</v>
      </c>
      <c r="AE218" s="34" t="s">
        <v>22</v>
      </c>
      <c r="AF218" s="34" t="s">
        <v>23</v>
      </c>
      <c r="AG218" s="164"/>
      <c r="AH218" s="4"/>
    </row>
    <row r="219" spans="1:34" x14ac:dyDescent="0.25">
      <c r="B219" s="8"/>
      <c r="C219" s="9"/>
      <c r="D219" s="10">
        <v>0</v>
      </c>
      <c r="E219" s="10">
        <v>1</v>
      </c>
      <c r="F219" s="10">
        <v>2</v>
      </c>
      <c r="G219" s="10" t="s">
        <v>24</v>
      </c>
      <c r="H219" s="10" t="s">
        <v>25</v>
      </c>
      <c r="I219" s="10" t="s">
        <v>26</v>
      </c>
      <c r="J219" s="10" t="s">
        <v>27</v>
      </c>
      <c r="K219" s="26" t="s">
        <v>60</v>
      </c>
      <c r="L219" s="10" t="s">
        <v>61</v>
      </c>
      <c r="M219" s="10" t="s">
        <v>61</v>
      </c>
      <c r="N219" s="10" t="s">
        <v>62</v>
      </c>
      <c r="O219" s="10" t="s">
        <v>63</v>
      </c>
      <c r="P219" s="10" t="s">
        <v>63</v>
      </c>
      <c r="Q219" s="10" t="s">
        <v>63</v>
      </c>
      <c r="R219" s="10">
        <v>9</v>
      </c>
      <c r="S219" s="32" t="s">
        <v>163</v>
      </c>
      <c r="T219" s="32" t="s">
        <v>164</v>
      </c>
      <c r="U219" s="32" t="s">
        <v>165</v>
      </c>
      <c r="V219" s="32" t="s">
        <v>166</v>
      </c>
      <c r="W219" s="32" t="s">
        <v>64</v>
      </c>
      <c r="X219" s="10" t="s">
        <v>65</v>
      </c>
      <c r="Y219" s="10" t="s">
        <v>66</v>
      </c>
      <c r="Z219" s="10" t="s">
        <v>67</v>
      </c>
      <c r="AA219" s="10" t="s">
        <v>158</v>
      </c>
      <c r="AB219" s="10" t="s">
        <v>243</v>
      </c>
      <c r="AC219" s="10">
        <v>16</v>
      </c>
      <c r="AD219" s="32" t="s">
        <v>159</v>
      </c>
      <c r="AE219" s="32" t="s">
        <v>160</v>
      </c>
      <c r="AF219" s="32" t="s">
        <v>161</v>
      </c>
      <c r="AG219" s="10">
        <v>17</v>
      </c>
      <c r="AH219" s="4"/>
    </row>
    <row r="220" spans="1:34" x14ac:dyDescent="0.25">
      <c r="A220" s="1" t="s">
        <v>242</v>
      </c>
      <c r="B220" s="123">
        <v>1</v>
      </c>
      <c r="C220" s="123" t="s">
        <v>139</v>
      </c>
      <c r="D220" s="124">
        <v>1</v>
      </c>
      <c r="E220" s="125">
        <v>64.61</v>
      </c>
      <c r="F220" s="125">
        <f t="shared" ref="F220:F228" si="78">E220*1192.91</f>
        <v>77073.915099999998</v>
      </c>
      <c r="G220" s="125">
        <f t="shared" ref="G220:G228" si="79">+F220/60</f>
        <v>1284.5652516666667</v>
      </c>
      <c r="H220" s="125">
        <f t="shared" ref="H220:H228" si="80">+F220*1.5%</f>
        <v>1156.1087264999999</v>
      </c>
      <c r="I220" s="125">
        <v>0</v>
      </c>
      <c r="J220" s="125">
        <f t="shared" ref="J220:J227" si="81">+G220+H220+I220</f>
        <v>2440.6739781666665</v>
      </c>
      <c r="K220" s="125">
        <f>J220/12</f>
        <v>203.38949818055553</v>
      </c>
      <c r="L220" s="125"/>
      <c r="M220" s="125">
        <f t="shared" ref="M220:M228" si="82">J220*(100%+5.6%)</f>
        <v>2577.3517209440001</v>
      </c>
      <c r="N220" s="125">
        <f>+K220*N218</f>
        <v>142.37264872638886</v>
      </c>
      <c r="O220" s="125">
        <v>113.86</v>
      </c>
      <c r="P220" s="125">
        <f>+N220*P218</f>
        <v>128.13538385374997</v>
      </c>
      <c r="Q220" s="125">
        <f>+N220*Q218</f>
        <v>142.37264872638886</v>
      </c>
      <c r="R220" s="125">
        <v>1069.5</v>
      </c>
      <c r="S220" s="125">
        <f>R220*S218</f>
        <v>106.95</v>
      </c>
      <c r="T220" s="125">
        <v>0</v>
      </c>
      <c r="U220" s="125">
        <v>0</v>
      </c>
      <c r="V220" s="125">
        <v>0</v>
      </c>
      <c r="W220" s="125">
        <v>106.95</v>
      </c>
      <c r="X220" s="125">
        <f>W220*12</f>
        <v>1283.4000000000001</v>
      </c>
      <c r="Y220" s="125">
        <v>0</v>
      </c>
      <c r="Z220" s="125">
        <v>0</v>
      </c>
      <c r="AA220" s="125">
        <v>0</v>
      </c>
      <c r="AB220" s="125">
        <f>X220/12</f>
        <v>106.95</v>
      </c>
      <c r="AC220" s="125">
        <f>K220</f>
        <v>203.38949818055553</v>
      </c>
      <c r="AD220" s="125">
        <f>AB220</f>
        <v>106.95</v>
      </c>
      <c r="AE220" s="125">
        <f>G220/12</f>
        <v>107.04710430555555</v>
      </c>
      <c r="AF220" s="127">
        <f>AE220/AC220*100</f>
        <v>52.631578947368418</v>
      </c>
      <c r="AG220" s="128">
        <f>AD220*AF220%</f>
        <v>56.289473684210527</v>
      </c>
      <c r="AH220" s="4"/>
    </row>
    <row r="221" spans="1:34" x14ac:dyDescent="0.25">
      <c r="A221" s="1" t="s">
        <v>234</v>
      </c>
      <c r="B221" s="20">
        <v>2</v>
      </c>
      <c r="C221" s="20" t="s">
        <v>140</v>
      </c>
      <c r="D221" s="12">
        <v>1</v>
      </c>
      <c r="E221" s="33">
        <v>63.27</v>
      </c>
      <c r="F221" s="15">
        <f t="shared" si="78"/>
        <v>75475.415700000012</v>
      </c>
      <c r="G221" s="15">
        <f t="shared" si="79"/>
        <v>1257.9235950000002</v>
      </c>
      <c r="H221" s="15">
        <f t="shared" si="80"/>
        <v>1132.1312355000002</v>
      </c>
      <c r="I221" s="15">
        <v>0</v>
      </c>
      <c r="J221" s="15">
        <v>2389.4</v>
      </c>
      <c r="K221" s="15">
        <f t="shared" ref="K221:K228" si="83">+J221/12</f>
        <v>199.11666666666667</v>
      </c>
      <c r="L221" s="15"/>
      <c r="M221" s="15">
        <f t="shared" si="82"/>
        <v>2523.2064</v>
      </c>
      <c r="N221" s="15">
        <f>+K221*N218</f>
        <v>139.38166666666666</v>
      </c>
      <c r="O221" s="15">
        <v>111.5</v>
      </c>
      <c r="P221" s="15">
        <f>+N221*P218</f>
        <v>125.4435</v>
      </c>
      <c r="Q221" s="15">
        <f>+N221*Q218</f>
        <v>139.38166666666666</v>
      </c>
      <c r="R221" s="15"/>
      <c r="S221" s="15"/>
      <c r="T221" s="15"/>
      <c r="U221" s="15"/>
      <c r="V221" s="15"/>
      <c r="W221" s="15"/>
      <c r="X221" s="15"/>
      <c r="Y221" s="15"/>
      <c r="Z221" s="15"/>
      <c r="AA221" s="40"/>
      <c r="AB221" s="15"/>
      <c r="AC221" s="40">
        <f t="shared" ref="AC221:AC228" si="84">K221</f>
        <v>199.11666666666667</v>
      </c>
      <c r="AD221" s="15"/>
      <c r="AE221" s="40">
        <f t="shared" ref="AE221:AE228" si="85">G221/12</f>
        <v>104.82696625000001</v>
      </c>
      <c r="AF221" s="50">
        <f t="shared" ref="AF221:AF228" si="86">AE221/AC221*100</f>
        <v>52.646002971457271</v>
      </c>
      <c r="AG221" s="128">
        <f t="shared" ref="AG221:AG228" si="87">AD221*AF221%</f>
        <v>0</v>
      </c>
      <c r="AH221" s="4"/>
    </row>
    <row r="222" spans="1:34" x14ac:dyDescent="0.25">
      <c r="A222" s="1" t="s">
        <v>235</v>
      </c>
      <c r="B222" s="20">
        <v>3</v>
      </c>
      <c r="C222" s="20" t="s">
        <v>141</v>
      </c>
      <c r="D222" s="12">
        <v>1</v>
      </c>
      <c r="E222" s="15">
        <v>69.91</v>
      </c>
      <c r="F222" s="15">
        <f t="shared" si="78"/>
        <v>83396.338100000008</v>
      </c>
      <c r="G222" s="15">
        <v>1389.55</v>
      </c>
      <c r="H222" s="15">
        <f t="shared" si="80"/>
        <v>1250.9450715</v>
      </c>
      <c r="I222" s="15">
        <v>0</v>
      </c>
      <c r="J222" s="15">
        <f t="shared" si="81"/>
        <v>2640.4950715</v>
      </c>
      <c r="K222" s="15">
        <f t="shared" si="83"/>
        <v>220.04125595833332</v>
      </c>
      <c r="L222" s="15"/>
      <c r="M222" s="15">
        <f t="shared" si="82"/>
        <v>2788.3627955040001</v>
      </c>
      <c r="N222" s="15">
        <f>+K222*N218</f>
        <v>154.02887917083331</v>
      </c>
      <c r="O222" s="15">
        <f>+N222*O218</f>
        <v>123.22310333666665</v>
      </c>
      <c r="P222" s="15">
        <f>+N222*P218</f>
        <v>138.62599125374999</v>
      </c>
      <c r="Q222" s="15">
        <f>+N222*Q218</f>
        <v>154.02887917083331</v>
      </c>
      <c r="R222" s="15"/>
      <c r="S222" s="15"/>
      <c r="T222" s="15"/>
      <c r="U222" s="15"/>
      <c r="V222" s="15"/>
      <c r="W222" s="15"/>
      <c r="X222" s="15"/>
      <c r="Y222" s="15"/>
      <c r="Z222" s="15"/>
      <c r="AA222" s="40"/>
      <c r="AB222" s="15"/>
      <c r="AC222" s="40">
        <f t="shared" si="84"/>
        <v>220.04125595833332</v>
      </c>
      <c r="AD222" s="15"/>
      <c r="AE222" s="40">
        <f t="shared" si="85"/>
        <v>115.79583333333333</v>
      </c>
      <c r="AF222" s="50">
        <f t="shared" si="86"/>
        <v>52.624601159002772</v>
      </c>
      <c r="AG222" s="128">
        <f t="shared" si="87"/>
        <v>0</v>
      </c>
      <c r="AH222" s="4"/>
    </row>
    <row r="223" spans="1:34" x14ac:dyDescent="0.25">
      <c r="A223" s="70" t="s">
        <v>236</v>
      </c>
      <c r="B223" s="123">
        <v>4</v>
      </c>
      <c r="C223" s="123" t="s">
        <v>142</v>
      </c>
      <c r="D223" s="124">
        <v>1</v>
      </c>
      <c r="E223" s="125">
        <v>70.33</v>
      </c>
      <c r="F223" s="125">
        <f t="shared" si="78"/>
        <v>83897.3603</v>
      </c>
      <c r="G223" s="125">
        <f t="shared" si="79"/>
        <v>1398.2893383333333</v>
      </c>
      <c r="H223" s="125">
        <f t="shared" si="80"/>
        <v>1258.4604044999999</v>
      </c>
      <c r="I223" s="125">
        <v>0</v>
      </c>
      <c r="J223" s="125">
        <f t="shared" si="81"/>
        <v>2656.7497428333331</v>
      </c>
      <c r="K223" s="125">
        <f t="shared" si="83"/>
        <v>221.39581190277775</v>
      </c>
      <c r="L223" s="125"/>
      <c r="M223" s="125">
        <f t="shared" si="82"/>
        <v>2805.527728432</v>
      </c>
      <c r="N223" s="125">
        <f>+K223*N218</f>
        <v>154.97706833194442</v>
      </c>
      <c r="O223" s="125">
        <v>123.94</v>
      </c>
      <c r="P223" s="125">
        <f>+N223*P218</f>
        <v>139.47936149875</v>
      </c>
      <c r="Q223" s="125">
        <f>+N223*Q218</f>
        <v>154.97706833194442</v>
      </c>
      <c r="R223" s="125"/>
      <c r="S223" s="125"/>
      <c r="T223" s="125"/>
      <c r="U223" s="125"/>
      <c r="V223" s="125"/>
      <c r="W223" s="125"/>
      <c r="X223" s="125"/>
      <c r="Y223" s="125">
        <v>0</v>
      </c>
      <c r="Z223" s="125">
        <v>0</v>
      </c>
      <c r="AA223" s="125"/>
      <c r="AB223" s="125"/>
      <c r="AC223" s="125">
        <f t="shared" si="84"/>
        <v>221.39581190277775</v>
      </c>
      <c r="AD223" s="125"/>
      <c r="AE223" s="125">
        <f t="shared" si="85"/>
        <v>116.52411152777778</v>
      </c>
      <c r="AF223" s="127">
        <f t="shared" si="86"/>
        <v>52.631578947368432</v>
      </c>
      <c r="AG223" s="128">
        <f t="shared" si="87"/>
        <v>0</v>
      </c>
      <c r="AH223" s="4"/>
    </row>
    <row r="224" spans="1:34" x14ac:dyDescent="0.25">
      <c r="A224" s="1" t="s">
        <v>237</v>
      </c>
      <c r="B224" s="20">
        <v>5</v>
      </c>
      <c r="C224" s="20" t="s">
        <v>143</v>
      </c>
      <c r="D224" s="12">
        <v>1</v>
      </c>
      <c r="E224" s="15">
        <v>69.12</v>
      </c>
      <c r="F224" s="15">
        <f t="shared" si="78"/>
        <v>82453.939200000008</v>
      </c>
      <c r="G224" s="15">
        <f t="shared" si="79"/>
        <v>1374.2323200000001</v>
      </c>
      <c r="H224" s="15">
        <f t="shared" si="80"/>
        <v>1236.809088</v>
      </c>
      <c r="I224" s="15">
        <v>0</v>
      </c>
      <c r="J224" s="15">
        <f t="shared" si="81"/>
        <v>2611.041408</v>
      </c>
      <c r="K224" s="15">
        <f t="shared" si="83"/>
        <v>217.58678399999999</v>
      </c>
      <c r="L224" s="15"/>
      <c r="M224" s="15">
        <f t="shared" si="82"/>
        <v>2757.2597268480004</v>
      </c>
      <c r="N224" s="15">
        <f>+K224*N218</f>
        <v>152.3107488</v>
      </c>
      <c r="O224" s="15">
        <f>+N224*O218</f>
        <v>121.84859904000001</v>
      </c>
      <c r="P224" s="15">
        <f>+N224*P218</f>
        <v>137.07967392</v>
      </c>
      <c r="Q224" s="15">
        <f>+N224*Q218</f>
        <v>152.3107488</v>
      </c>
      <c r="R224" s="15"/>
      <c r="S224" s="15"/>
      <c r="T224" s="15"/>
      <c r="U224" s="15"/>
      <c r="V224" s="15"/>
      <c r="W224" s="15"/>
      <c r="X224" s="15"/>
      <c r="Y224" s="15"/>
      <c r="Z224" s="15"/>
      <c r="AA224" s="40"/>
      <c r="AB224" s="15"/>
      <c r="AC224" s="40">
        <f t="shared" si="84"/>
        <v>217.58678399999999</v>
      </c>
      <c r="AD224" s="15"/>
      <c r="AE224" s="40">
        <f t="shared" si="85"/>
        <v>114.51936000000001</v>
      </c>
      <c r="AF224" s="50">
        <f t="shared" si="86"/>
        <v>52.631578947368432</v>
      </c>
      <c r="AG224" s="128">
        <f t="shared" si="87"/>
        <v>0</v>
      </c>
      <c r="AH224" s="4"/>
    </row>
    <row r="225" spans="1:34" x14ac:dyDescent="0.25">
      <c r="A225" s="1" t="s">
        <v>238</v>
      </c>
      <c r="B225" s="37">
        <v>6</v>
      </c>
      <c r="C225" s="37" t="s">
        <v>144</v>
      </c>
      <c r="D225" s="38">
        <v>1</v>
      </c>
      <c r="E225" s="40">
        <v>69.099999999999994</v>
      </c>
      <c r="F225" s="40">
        <f t="shared" si="78"/>
        <v>82430.081000000006</v>
      </c>
      <c r="G225" s="40">
        <f t="shared" si="79"/>
        <v>1373.8346833333335</v>
      </c>
      <c r="H225" s="40">
        <f t="shared" si="80"/>
        <v>1236.451215</v>
      </c>
      <c r="I225" s="40">
        <v>0</v>
      </c>
      <c r="J225" s="40">
        <f t="shared" si="81"/>
        <v>2610.2858983333335</v>
      </c>
      <c r="K225" s="40">
        <f t="shared" si="83"/>
        <v>217.52382486111114</v>
      </c>
      <c r="L225" s="40"/>
      <c r="M225" s="40">
        <f t="shared" si="82"/>
        <v>2756.4619086400003</v>
      </c>
      <c r="N225" s="40">
        <f>+K225*N218</f>
        <v>152.26667740277779</v>
      </c>
      <c r="O225" s="40">
        <f>+N225*O218</f>
        <v>121.81334192222224</v>
      </c>
      <c r="P225" s="40">
        <f>+N225*P218</f>
        <v>137.04000966250001</v>
      </c>
      <c r="Q225" s="40">
        <f>+N225*Q218</f>
        <v>152.26667740277779</v>
      </c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>
        <f t="shared" si="84"/>
        <v>217.52382486111114</v>
      </c>
      <c r="AD225" s="40"/>
      <c r="AE225" s="40">
        <f t="shared" si="85"/>
        <v>114.48622361111113</v>
      </c>
      <c r="AF225" s="50">
        <f t="shared" si="86"/>
        <v>52.631578947368418</v>
      </c>
      <c r="AG225" s="128">
        <f t="shared" si="87"/>
        <v>0</v>
      </c>
      <c r="AH225" s="4"/>
    </row>
    <row r="226" spans="1:34" x14ac:dyDescent="0.25">
      <c r="A226" s="1" t="s">
        <v>239</v>
      </c>
      <c r="B226" s="20">
        <v>7</v>
      </c>
      <c r="C226" s="20" t="s">
        <v>145</v>
      </c>
      <c r="D226" s="12">
        <v>1</v>
      </c>
      <c r="E226" s="15">
        <v>66.11</v>
      </c>
      <c r="F226" s="15">
        <f t="shared" si="78"/>
        <v>78863.280100000004</v>
      </c>
      <c r="G226" s="15">
        <f t="shared" si="79"/>
        <v>1314.3880016666667</v>
      </c>
      <c r="H226" s="15">
        <f t="shared" si="80"/>
        <v>1182.9492015000001</v>
      </c>
      <c r="I226" s="15">
        <v>0</v>
      </c>
      <c r="J226" s="15">
        <v>2496.64</v>
      </c>
      <c r="K226" s="15">
        <f t="shared" si="83"/>
        <v>208.05333333333331</v>
      </c>
      <c r="L226" s="15"/>
      <c r="M226" s="15">
        <f t="shared" si="82"/>
        <v>2636.4518400000002</v>
      </c>
      <c r="N226" s="15">
        <f>+K226*N218</f>
        <v>145.63733333333332</v>
      </c>
      <c r="O226" s="15">
        <f>+N226*O218</f>
        <v>116.50986666666665</v>
      </c>
      <c r="P226" s="15">
        <v>131.08000000000001</v>
      </c>
      <c r="Q226" s="15">
        <f>+N226*Q218</f>
        <v>145.63733333333332</v>
      </c>
      <c r="R226" s="15"/>
      <c r="S226" s="15"/>
      <c r="T226" s="15"/>
      <c r="U226" s="15"/>
      <c r="V226" s="15"/>
      <c r="W226" s="15"/>
      <c r="X226" s="15"/>
      <c r="Y226" s="15"/>
      <c r="Z226" s="15"/>
      <c r="AA226" s="40"/>
      <c r="AB226" s="15"/>
      <c r="AC226" s="40">
        <f t="shared" si="84"/>
        <v>208.05333333333331</v>
      </c>
      <c r="AD226" s="15"/>
      <c r="AE226" s="40">
        <f t="shared" si="85"/>
        <v>109.53233347222222</v>
      </c>
      <c r="AF226" s="50">
        <f t="shared" si="86"/>
        <v>52.646276662501066</v>
      </c>
      <c r="AG226" s="128">
        <f t="shared" si="87"/>
        <v>0</v>
      </c>
      <c r="AH226" s="4"/>
    </row>
    <row r="227" spans="1:34" x14ac:dyDescent="0.25">
      <c r="A227" s="1" t="s">
        <v>240</v>
      </c>
      <c r="B227" s="20">
        <v>8</v>
      </c>
      <c r="C227" s="20" t="s">
        <v>146</v>
      </c>
      <c r="D227" s="12">
        <v>1</v>
      </c>
      <c r="E227" s="15">
        <v>67.63</v>
      </c>
      <c r="F227" s="15">
        <f t="shared" si="78"/>
        <v>80676.503299999997</v>
      </c>
      <c r="G227" s="15">
        <f t="shared" si="79"/>
        <v>1344.6083883333333</v>
      </c>
      <c r="H227" s="15">
        <f t="shared" si="80"/>
        <v>1210.1475495</v>
      </c>
      <c r="I227" s="15">
        <v>0</v>
      </c>
      <c r="J227" s="15">
        <f t="shared" si="81"/>
        <v>2554.7559378333335</v>
      </c>
      <c r="K227" s="15">
        <f t="shared" si="83"/>
        <v>212.89632815277778</v>
      </c>
      <c r="L227" s="15"/>
      <c r="M227" s="15">
        <f t="shared" si="82"/>
        <v>2697.8222703520005</v>
      </c>
      <c r="N227" s="15">
        <f>+K227*N218</f>
        <v>149.02742970694445</v>
      </c>
      <c r="O227" s="15">
        <f>+N227*O218</f>
        <v>119.22194376555557</v>
      </c>
      <c r="P227" s="15">
        <f>+N227*P218</f>
        <v>134.12468673625</v>
      </c>
      <c r="Q227" s="15">
        <f>+N227*Q218</f>
        <v>149.02742970694445</v>
      </c>
      <c r="R227" s="15">
        <v>2854.92</v>
      </c>
      <c r="S227" s="15">
        <v>0</v>
      </c>
      <c r="T227" s="15">
        <f>R227*T218</f>
        <v>570.98400000000004</v>
      </c>
      <c r="U227" s="15">
        <v>0</v>
      </c>
      <c r="V227" s="15">
        <v>0</v>
      </c>
      <c r="W227" s="15">
        <f>P227</f>
        <v>134.12468673625</v>
      </c>
      <c r="X227" s="15">
        <v>1609.44</v>
      </c>
      <c r="Y227" s="15">
        <v>1776.82</v>
      </c>
      <c r="Z227" s="15">
        <v>1876.32</v>
      </c>
      <c r="AA227" s="40"/>
      <c r="AB227" s="15">
        <f>AA227/12</f>
        <v>0</v>
      </c>
      <c r="AC227" s="40">
        <f t="shared" si="84"/>
        <v>212.89632815277778</v>
      </c>
      <c r="AD227" s="15"/>
      <c r="AE227" s="40">
        <f t="shared" si="85"/>
        <v>112.05069902777778</v>
      </c>
      <c r="AF227" s="50">
        <f t="shared" si="86"/>
        <v>52.631578947368418</v>
      </c>
      <c r="AG227" s="128">
        <f t="shared" si="87"/>
        <v>0</v>
      </c>
      <c r="AH227" s="4"/>
    </row>
    <row r="228" spans="1:34" x14ac:dyDescent="0.25">
      <c r="A228" s="130" t="s">
        <v>244</v>
      </c>
      <c r="B228" s="123">
        <v>9</v>
      </c>
      <c r="C228" s="123" t="s">
        <v>147</v>
      </c>
      <c r="D228" s="124">
        <v>1</v>
      </c>
      <c r="E228" s="125">
        <v>72.63</v>
      </c>
      <c r="F228" s="125">
        <f t="shared" si="78"/>
        <v>86641.0533</v>
      </c>
      <c r="G228" s="125">
        <f t="shared" si="79"/>
        <v>1444.0175549999999</v>
      </c>
      <c r="H228" s="125">
        <f t="shared" si="80"/>
        <v>1299.6157994999999</v>
      </c>
      <c r="I228" s="125">
        <v>0</v>
      </c>
      <c r="J228" s="125">
        <v>2742.88</v>
      </c>
      <c r="K228" s="125">
        <f t="shared" si="83"/>
        <v>228.57333333333335</v>
      </c>
      <c r="L228" s="125"/>
      <c r="M228" s="125">
        <f t="shared" si="82"/>
        <v>2896.4812800000004</v>
      </c>
      <c r="N228" s="125">
        <f>+K228*N218</f>
        <v>160.00133333333335</v>
      </c>
      <c r="O228" s="125">
        <f>+N228*O218</f>
        <v>128.00106666666667</v>
      </c>
      <c r="P228" s="125">
        <f>+N228*P218</f>
        <v>144.00120000000001</v>
      </c>
      <c r="Q228" s="125">
        <f>+N228*Q218</f>
        <v>160.00133333333335</v>
      </c>
      <c r="R228" s="125"/>
      <c r="S228" s="125"/>
      <c r="T228" s="125"/>
      <c r="U228" s="125"/>
      <c r="V228" s="125"/>
      <c r="W228" s="125"/>
      <c r="X228" s="125"/>
      <c r="Y228" s="125">
        <v>0</v>
      </c>
      <c r="Z228" s="125">
        <v>0</v>
      </c>
      <c r="AA228" s="125">
        <v>0</v>
      </c>
      <c r="AB228" s="125"/>
      <c r="AC228" s="125">
        <f t="shared" si="84"/>
        <v>228.57333333333335</v>
      </c>
      <c r="AD228" s="125"/>
      <c r="AE228" s="125">
        <f t="shared" si="85"/>
        <v>120.33479625</v>
      </c>
      <c r="AF228" s="127">
        <f t="shared" si="86"/>
        <v>52.646034642419636</v>
      </c>
      <c r="AG228" s="128">
        <f t="shared" si="87"/>
        <v>0</v>
      </c>
      <c r="AH228" s="4"/>
    </row>
    <row r="229" spans="1:34" x14ac:dyDescent="0.25">
      <c r="B229" s="8"/>
      <c r="C229" s="177" t="s">
        <v>77</v>
      </c>
      <c r="D229" s="177"/>
      <c r="E229" s="16">
        <f t="shared" ref="E229:K229" si="88">SUM(E220:E228)</f>
        <v>612.71</v>
      </c>
      <c r="F229" s="16">
        <f t="shared" si="88"/>
        <v>730907.8861</v>
      </c>
      <c r="G229" s="16">
        <f t="shared" si="88"/>
        <v>12181.409133333334</v>
      </c>
      <c r="H229" s="16">
        <f t="shared" si="88"/>
        <v>10963.618291499999</v>
      </c>
      <c r="I229" s="63">
        <f t="shared" si="88"/>
        <v>0</v>
      </c>
      <c r="J229" s="16">
        <f t="shared" si="88"/>
        <v>23142.922036666667</v>
      </c>
      <c r="K229" s="16">
        <f t="shared" si="88"/>
        <v>1928.5768363888888</v>
      </c>
      <c r="L229" s="16"/>
      <c r="M229" s="16">
        <f>SUM(M220:M228)</f>
        <v>24438.925670720004</v>
      </c>
      <c r="N229" s="16">
        <f>SUM(N220:N228)</f>
        <v>1350.0037854722223</v>
      </c>
      <c r="O229" s="16">
        <f>SUM(O220:O228)</f>
        <v>1079.9179213977777</v>
      </c>
      <c r="P229" s="16">
        <f>SUM(P220:P228)</f>
        <v>1215.0098069249998</v>
      </c>
      <c r="Q229" s="16">
        <f>SUM(Q220:Q228)</f>
        <v>1350.0037854722223</v>
      </c>
      <c r="R229" s="16"/>
      <c r="S229" s="16">
        <f>SUM(S220:S228)</f>
        <v>106.95</v>
      </c>
      <c r="T229" s="16">
        <f t="shared" ref="T229:AG229" si="89">SUM(T220:T228)</f>
        <v>570.98400000000004</v>
      </c>
      <c r="U229" s="16">
        <f t="shared" si="89"/>
        <v>0</v>
      </c>
      <c r="V229" s="16">
        <f t="shared" si="89"/>
        <v>0</v>
      </c>
      <c r="W229" s="16">
        <f t="shared" si="89"/>
        <v>241.07468673624999</v>
      </c>
      <c r="X229" s="16">
        <f t="shared" si="89"/>
        <v>2892.84</v>
      </c>
      <c r="Y229" s="16">
        <f t="shared" si="89"/>
        <v>1776.82</v>
      </c>
      <c r="Z229" s="16">
        <f t="shared" si="89"/>
        <v>1876.32</v>
      </c>
      <c r="AA229" s="16">
        <f t="shared" si="89"/>
        <v>0</v>
      </c>
      <c r="AB229" s="16">
        <f t="shared" si="89"/>
        <v>106.95</v>
      </c>
      <c r="AC229" s="16">
        <f t="shared" si="89"/>
        <v>1928.5768363888888</v>
      </c>
      <c r="AD229" s="16">
        <f t="shared" si="89"/>
        <v>106.95</v>
      </c>
      <c r="AE229" s="16">
        <f t="shared" si="89"/>
        <v>1015.1174277777777</v>
      </c>
      <c r="AF229" s="16">
        <f t="shared" si="89"/>
        <v>473.72081017222291</v>
      </c>
      <c r="AG229" s="16">
        <f t="shared" si="89"/>
        <v>56.289473684210527</v>
      </c>
      <c r="AH229" s="4"/>
    </row>
    <row r="230" spans="1:34" ht="18" customHeight="1" x14ac:dyDescent="0.25">
      <c r="B230" s="4"/>
      <c r="C230" s="182" t="s">
        <v>101</v>
      </c>
      <c r="D230" s="182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2"/>
      <c r="Y230" s="2"/>
      <c r="Z230" s="2"/>
      <c r="AA230" s="2"/>
      <c r="AB230" s="2"/>
      <c r="AC230" s="2"/>
      <c r="AD230" s="52"/>
      <c r="AE230" s="52"/>
      <c r="AF230" s="52"/>
      <c r="AG230" s="53"/>
      <c r="AH230" s="4"/>
    </row>
    <row r="231" spans="1:34" ht="20.100000000000001" customHeight="1" x14ac:dyDescent="0.25">
      <c r="A231" s="2"/>
      <c r="B231" s="2"/>
      <c r="C231" s="2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2"/>
      <c r="Y231" s="2"/>
      <c r="Z231" s="2"/>
      <c r="AA231" s="2"/>
      <c r="AB231" s="2"/>
      <c r="AC231" s="2"/>
      <c r="AD231" s="52"/>
      <c r="AE231" s="52"/>
      <c r="AF231" s="52"/>
      <c r="AG231" s="53"/>
      <c r="AH231" s="4"/>
    </row>
    <row r="232" spans="1:34" ht="105" customHeight="1" x14ac:dyDescent="0.25">
      <c r="B232" s="173" t="s">
        <v>1</v>
      </c>
      <c r="C232" s="175" t="s">
        <v>56</v>
      </c>
      <c r="D232" s="167" t="s">
        <v>3</v>
      </c>
      <c r="E232" s="167" t="s">
        <v>4</v>
      </c>
      <c r="F232" s="167" t="s">
        <v>5</v>
      </c>
      <c r="G232" s="167" t="s">
        <v>6</v>
      </c>
      <c r="H232" s="167" t="s">
        <v>7</v>
      </c>
      <c r="I232" s="167" t="s">
        <v>8</v>
      </c>
      <c r="J232" s="167" t="s">
        <v>9</v>
      </c>
      <c r="K232" s="167" t="s">
        <v>57</v>
      </c>
      <c r="L232" s="23" t="s">
        <v>10</v>
      </c>
      <c r="M232" s="23" t="s">
        <v>10</v>
      </c>
      <c r="N232" s="23" t="s">
        <v>12</v>
      </c>
      <c r="O232" s="169" t="s">
        <v>13</v>
      </c>
      <c r="P232" s="170"/>
      <c r="Q232" s="171"/>
      <c r="R232" s="167" t="s">
        <v>14</v>
      </c>
      <c r="S232" s="183" t="s">
        <v>58</v>
      </c>
      <c r="T232" s="184"/>
      <c r="U232" s="184"/>
      <c r="V232" s="185"/>
      <c r="W232" s="165" t="s">
        <v>21</v>
      </c>
      <c r="X232" s="167" t="s">
        <v>9</v>
      </c>
      <c r="Y232" s="23" t="s">
        <v>245</v>
      </c>
      <c r="Z232" s="23" t="s">
        <v>246</v>
      </c>
      <c r="AA232" s="23" t="s">
        <v>157</v>
      </c>
      <c r="AB232" s="165" t="s">
        <v>59</v>
      </c>
      <c r="AC232" s="186" t="s">
        <v>18</v>
      </c>
      <c r="AD232" s="187"/>
      <c r="AE232" s="187"/>
      <c r="AF232" s="187"/>
      <c r="AG232" s="163" t="s">
        <v>19</v>
      </c>
      <c r="AH232" s="4"/>
    </row>
    <row r="233" spans="1:34" ht="51" x14ac:dyDescent="0.25">
      <c r="B233" s="174"/>
      <c r="C233" s="176"/>
      <c r="D233" s="168"/>
      <c r="E233" s="168"/>
      <c r="F233" s="168"/>
      <c r="G233" s="168"/>
      <c r="H233" s="168"/>
      <c r="I233" s="168"/>
      <c r="J233" s="168"/>
      <c r="K233" s="168"/>
      <c r="L233" s="23">
        <v>5.6</v>
      </c>
      <c r="M233" s="23">
        <v>5.6</v>
      </c>
      <c r="N233" s="23">
        <v>0.7</v>
      </c>
      <c r="O233" s="24">
        <v>0.8</v>
      </c>
      <c r="P233" s="25">
        <v>0.9</v>
      </c>
      <c r="Q233" s="29">
        <v>1</v>
      </c>
      <c r="R233" s="168"/>
      <c r="S233" s="30">
        <v>0.1</v>
      </c>
      <c r="T233" s="31">
        <v>0.2</v>
      </c>
      <c r="U233" s="31">
        <v>0.3</v>
      </c>
      <c r="V233" s="31">
        <v>0.1</v>
      </c>
      <c r="W233" s="166"/>
      <c r="X233" s="168"/>
      <c r="Y233" s="23">
        <v>10.4</v>
      </c>
      <c r="Z233" s="23">
        <v>5.6</v>
      </c>
      <c r="AA233" s="23"/>
      <c r="AB233" s="166"/>
      <c r="AC233" s="34" t="s">
        <v>20</v>
      </c>
      <c r="AD233" s="34" t="s">
        <v>21</v>
      </c>
      <c r="AE233" s="34" t="s">
        <v>22</v>
      </c>
      <c r="AF233" s="34" t="s">
        <v>23</v>
      </c>
      <c r="AG233" s="164"/>
      <c r="AH233" s="4"/>
    </row>
    <row r="234" spans="1:34" x14ac:dyDescent="0.25">
      <c r="B234" s="8"/>
      <c r="C234" s="9"/>
      <c r="D234" s="10">
        <v>0</v>
      </c>
      <c r="E234" s="10">
        <v>1</v>
      </c>
      <c r="F234" s="10">
        <v>2</v>
      </c>
      <c r="G234" s="10" t="s">
        <v>24</v>
      </c>
      <c r="H234" s="10" t="s">
        <v>25</v>
      </c>
      <c r="I234" s="10" t="s">
        <v>26</v>
      </c>
      <c r="J234" s="10" t="s">
        <v>27</v>
      </c>
      <c r="K234" s="26" t="s">
        <v>60</v>
      </c>
      <c r="L234" s="10" t="s">
        <v>61</v>
      </c>
      <c r="M234" s="10" t="s">
        <v>61</v>
      </c>
      <c r="N234" s="10" t="s">
        <v>62</v>
      </c>
      <c r="O234" s="10" t="s">
        <v>63</v>
      </c>
      <c r="P234" s="10" t="s">
        <v>63</v>
      </c>
      <c r="Q234" s="10" t="s">
        <v>63</v>
      </c>
      <c r="R234" s="10">
        <v>9</v>
      </c>
      <c r="S234" s="32" t="s">
        <v>163</v>
      </c>
      <c r="T234" s="32" t="s">
        <v>164</v>
      </c>
      <c r="U234" s="32" t="s">
        <v>165</v>
      </c>
      <c r="V234" s="32" t="s">
        <v>166</v>
      </c>
      <c r="W234" s="32" t="s">
        <v>64</v>
      </c>
      <c r="X234" s="10" t="s">
        <v>65</v>
      </c>
      <c r="Y234" s="10" t="s">
        <v>66</v>
      </c>
      <c r="Z234" s="10" t="s">
        <v>67</v>
      </c>
      <c r="AA234" s="10" t="s">
        <v>158</v>
      </c>
      <c r="AB234" s="10" t="s">
        <v>243</v>
      </c>
      <c r="AC234" s="10">
        <v>16</v>
      </c>
      <c r="AD234" s="32" t="s">
        <v>159</v>
      </c>
      <c r="AE234" s="32" t="s">
        <v>160</v>
      </c>
      <c r="AF234" s="32" t="s">
        <v>161</v>
      </c>
      <c r="AG234" s="10">
        <v>17</v>
      </c>
      <c r="AH234" s="4"/>
    </row>
    <row r="235" spans="1:34" x14ac:dyDescent="0.25">
      <c r="A235" s="1" t="s">
        <v>241</v>
      </c>
      <c r="B235" s="8">
        <v>1</v>
      </c>
      <c r="C235" s="20" t="s">
        <v>148</v>
      </c>
      <c r="D235" s="12">
        <v>1</v>
      </c>
      <c r="E235" s="14">
        <v>71.23</v>
      </c>
      <c r="F235" s="15">
        <f>E235*1192.91</f>
        <v>84970.979300000006</v>
      </c>
      <c r="G235" s="15">
        <v>1415.8</v>
      </c>
      <c r="H235" s="15">
        <v>1274.22</v>
      </c>
      <c r="I235" s="15">
        <f>+F235*0.5%</f>
        <v>424.85489650000005</v>
      </c>
      <c r="J235" s="15">
        <f>+G235+H235+I235</f>
        <v>3114.8748965</v>
      </c>
      <c r="K235" s="15">
        <f>+J235/12</f>
        <v>259.57290804166666</v>
      </c>
      <c r="L235" s="15"/>
      <c r="M235" s="15">
        <f>+J235*(100%+5.6%)</f>
        <v>3289.3078907040003</v>
      </c>
      <c r="N235" s="15">
        <f>+K235*N233</f>
        <v>181.70103562916665</v>
      </c>
      <c r="O235" s="15">
        <v>145.35</v>
      </c>
      <c r="P235" s="15">
        <f>+N235*P233</f>
        <v>163.53093206624999</v>
      </c>
      <c r="Q235" s="15">
        <f>+N235*Q233</f>
        <v>181.70103562916665</v>
      </c>
      <c r="R235" s="15"/>
      <c r="S235" s="15"/>
      <c r="T235" s="15"/>
      <c r="U235" s="15"/>
      <c r="V235" s="15"/>
      <c r="W235" s="15"/>
      <c r="X235" s="15"/>
      <c r="Y235" s="15"/>
      <c r="Z235" s="15"/>
      <c r="AA235" s="40"/>
      <c r="AB235" s="15"/>
      <c r="AC235" s="15"/>
      <c r="AD235" s="15"/>
      <c r="AE235" s="15"/>
      <c r="AF235" s="35"/>
      <c r="AG235" s="36"/>
      <c r="AH235" s="4"/>
    </row>
    <row r="236" spans="1:34" x14ac:dyDescent="0.25">
      <c r="B236" s="8"/>
      <c r="C236" s="177" t="s">
        <v>77</v>
      </c>
      <c r="D236" s="177"/>
      <c r="E236" s="16">
        <f>+E235</f>
        <v>71.23</v>
      </c>
      <c r="F236" s="16">
        <f t="shared" ref="F236:H236" si="90">SUM(F235:F235)</f>
        <v>84970.979300000006</v>
      </c>
      <c r="G236" s="16">
        <f t="shared" si="90"/>
        <v>1415.8</v>
      </c>
      <c r="H236" s="16">
        <f t="shared" si="90"/>
        <v>1274.22</v>
      </c>
      <c r="I236" s="16">
        <f>+I235</f>
        <v>424.85489650000005</v>
      </c>
      <c r="J236" s="16">
        <f>SUM(J235:J235)</f>
        <v>3114.8748965</v>
      </c>
      <c r="K236" s="16">
        <f>+K235</f>
        <v>259.57290804166666</v>
      </c>
      <c r="L236" s="16"/>
      <c r="M236" s="16">
        <f>SUM(M235:M235)</f>
        <v>3289.3078907040003</v>
      </c>
      <c r="N236" s="16">
        <f>+N235</f>
        <v>181.70103562916665</v>
      </c>
      <c r="O236" s="16">
        <f>+O235</f>
        <v>145.35</v>
      </c>
      <c r="P236" s="16">
        <f>+P235</f>
        <v>163.53093206624999</v>
      </c>
      <c r="Q236" s="16">
        <f>+Q235</f>
        <v>181.70103562916665</v>
      </c>
      <c r="R236" s="16"/>
      <c r="S236" s="16">
        <f>SUM(S235)</f>
        <v>0</v>
      </c>
      <c r="T236" s="16">
        <f t="shared" ref="T236:AG236" si="91">SUM(T235)</f>
        <v>0</v>
      </c>
      <c r="U236" s="16">
        <f t="shared" si="91"/>
        <v>0</v>
      </c>
      <c r="V236" s="16">
        <f t="shared" si="91"/>
        <v>0</v>
      </c>
      <c r="W236" s="16">
        <f t="shared" si="91"/>
        <v>0</v>
      </c>
      <c r="X236" s="16">
        <f t="shared" si="91"/>
        <v>0</v>
      </c>
      <c r="Y236" s="16">
        <f t="shared" si="91"/>
        <v>0</v>
      </c>
      <c r="Z236" s="16">
        <f t="shared" si="91"/>
        <v>0</v>
      </c>
      <c r="AA236" s="16">
        <f t="shared" si="91"/>
        <v>0</v>
      </c>
      <c r="AB236" s="16">
        <f t="shared" si="91"/>
        <v>0</v>
      </c>
      <c r="AC236" s="16">
        <f t="shared" si="91"/>
        <v>0</v>
      </c>
      <c r="AD236" s="16">
        <f t="shared" si="91"/>
        <v>0</v>
      </c>
      <c r="AE236" s="16">
        <f t="shared" si="91"/>
        <v>0</v>
      </c>
      <c r="AF236" s="16">
        <f t="shared" si="91"/>
        <v>0</v>
      </c>
      <c r="AG236" s="16">
        <f t="shared" si="91"/>
        <v>0</v>
      </c>
      <c r="AH236" s="4"/>
    </row>
    <row r="237" spans="1:34" x14ac:dyDescent="0.25">
      <c r="B237" s="4"/>
      <c r="C237" s="56"/>
      <c r="D237" s="56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"/>
    </row>
    <row r="238" spans="1:34" x14ac:dyDescent="0.25">
      <c r="B238" s="4"/>
      <c r="C238" s="56"/>
      <c r="D238" s="56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"/>
    </row>
    <row r="239" spans="1:34" ht="15" x14ac:dyDescent="0.25">
      <c r="B239" s="4"/>
      <c r="C239" s="71"/>
      <c r="D239" s="72"/>
      <c r="E239" s="73" t="s">
        <v>149</v>
      </c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5"/>
      <c r="W239" s="75"/>
      <c r="X239" s="74"/>
      <c r="Y239" s="74"/>
      <c r="Z239" s="74"/>
      <c r="AA239" s="119"/>
      <c r="AB239" s="74"/>
      <c r="AC239" s="74"/>
      <c r="AD239" s="73"/>
      <c r="AE239" s="73"/>
      <c r="AF239" s="73"/>
      <c r="AG239" s="44"/>
      <c r="AH239" s="4"/>
    </row>
    <row r="240" spans="1:34" ht="15" x14ac:dyDescent="0.25">
      <c r="B240" s="4"/>
      <c r="C240" s="4"/>
      <c r="D240" s="178" t="s">
        <v>150</v>
      </c>
      <c r="E240" s="178"/>
      <c r="F240" s="178"/>
      <c r="G240" s="73"/>
      <c r="H240" s="73"/>
      <c r="I240" s="73"/>
      <c r="J240" s="73"/>
      <c r="K240" s="75"/>
      <c r="L240" s="75"/>
      <c r="M240" s="75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4"/>
      <c r="Y240" s="74"/>
      <c r="Z240" s="74"/>
      <c r="AA240" s="119"/>
      <c r="AB240" s="74"/>
      <c r="AC240" s="74"/>
      <c r="AD240" s="73"/>
      <c r="AE240" s="73"/>
      <c r="AF240" s="73"/>
      <c r="AG240" s="44"/>
      <c r="AH240" s="4"/>
    </row>
    <row r="241" spans="2:34" ht="15" x14ac:dyDescent="0.25">
      <c r="B241" s="4"/>
      <c r="C241" s="4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5"/>
      <c r="X241" s="74"/>
      <c r="Y241" s="74"/>
      <c r="Z241" s="74"/>
      <c r="AA241" s="119"/>
      <c r="AB241" s="74"/>
      <c r="AC241" s="74"/>
      <c r="AD241" s="73"/>
      <c r="AE241" s="73"/>
      <c r="AF241" s="73"/>
      <c r="AG241" s="44"/>
      <c r="AH241" s="4"/>
    </row>
    <row r="242" spans="2:34" ht="15" x14ac:dyDescent="0.25">
      <c r="B242" s="4"/>
      <c r="C242" s="4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178" t="s">
        <v>151</v>
      </c>
      <c r="U242" s="178"/>
      <c r="V242" s="178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44"/>
      <c r="AH242" s="4"/>
    </row>
    <row r="243" spans="2:34" ht="15" x14ac:dyDescent="0.25">
      <c r="B243" s="4"/>
      <c r="C243" s="4"/>
      <c r="D243" s="73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3"/>
      <c r="S243" s="75"/>
      <c r="T243" s="178" t="s">
        <v>152</v>
      </c>
      <c r="U243" s="178"/>
      <c r="V243" s="178"/>
      <c r="W243" s="73"/>
      <c r="X243" s="73"/>
      <c r="Y243" s="73"/>
      <c r="Z243" s="73"/>
      <c r="AA243" s="73"/>
      <c r="AB243" s="73"/>
      <c r="AC243" s="73"/>
      <c r="AD243" s="73"/>
      <c r="AE243" s="178" t="s">
        <v>153</v>
      </c>
      <c r="AF243" s="178"/>
      <c r="AG243" s="44"/>
      <c r="AH243" s="4"/>
    </row>
    <row r="244" spans="2:34" ht="15" x14ac:dyDescent="0.25">
      <c r="B244" s="4"/>
      <c r="C244" s="4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172" t="s">
        <v>154</v>
      </c>
      <c r="AF244" s="172"/>
      <c r="AG244" s="44"/>
      <c r="AH244" s="4"/>
    </row>
    <row r="245" spans="2:34" ht="14.25" x14ac:dyDescent="0.25">
      <c r="B245" s="4"/>
      <c r="D245" s="76"/>
      <c r="E245" s="76"/>
      <c r="F245" s="81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8"/>
      <c r="AF245" s="78"/>
      <c r="AG245" s="44"/>
      <c r="AH245" s="4"/>
    </row>
    <row r="246" spans="2:34" x14ac:dyDescent="0.25">
      <c r="B246" s="4"/>
      <c r="C246" s="56"/>
      <c r="D246" s="56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"/>
    </row>
    <row r="247" spans="2:34" x14ac:dyDescent="0.25">
      <c r="B247" s="4"/>
      <c r="C247" s="56"/>
      <c r="D247" s="56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"/>
    </row>
    <row r="248" spans="2:34" x14ac:dyDescent="0.25">
      <c r="B248" s="4"/>
      <c r="C248" s="56"/>
      <c r="D248" s="56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"/>
    </row>
    <row r="249" spans="2:34" x14ac:dyDescent="0.25">
      <c r="B249" s="4"/>
      <c r="C249" s="56"/>
      <c r="D249" s="56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"/>
    </row>
    <row r="250" spans="2:34" x14ac:dyDescent="0.25">
      <c r="B250" s="4"/>
      <c r="C250" s="56"/>
      <c r="D250" s="56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"/>
    </row>
    <row r="251" spans="2:34" x14ac:dyDescent="0.25">
      <c r="B251" s="4"/>
      <c r="C251" s="56"/>
      <c r="D251" s="56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"/>
    </row>
    <row r="252" spans="2:34" x14ac:dyDescent="0.25">
      <c r="B252" s="4"/>
      <c r="C252" s="56"/>
      <c r="D252" s="56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"/>
    </row>
    <row r="253" spans="2:34" x14ac:dyDescent="0.25">
      <c r="B253" s="4"/>
      <c r="C253" s="56"/>
      <c r="D253" s="56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"/>
    </row>
    <row r="254" spans="2:34" x14ac:dyDescent="0.25">
      <c r="B254" s="4"/>
      <c r="C254" s="56"/>
      <c r="D254" s="56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"/>
    </row>
    <row r="255" spans="2:34" x14ac:dyDescent="0.25">
      <c r="B255" s="4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"/>
    </row>
    <row r="256" spans="2:34" x14ac:dyDescent="0.25">
      <c r="B256" s="4"/>
      <c r="C256" s="56"/>
      <c r="D256" s="56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"/>
    </row>
    <row r="257" spans="2:34" x14ac:dyDescent="0.25">
      <c r="B257" s="4"/>
      <c r="C257" s="56"/>
      <c r="D257" s="56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"/>
    </row>
    <row r="258" spans="2:34" x14ac:dyDescent="0.25">
      <c r="B258" s="4"/>
      <c r="C258" s="56"/>
      <c r="D258" s="56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"/>
    </row>
    <row r="259" spans="2:34" x14ac:dyDescent="0.25">
      <c r="B259" s="4"/>
      <c r="C259" s="56"/>
      <c r="D259" s="56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"/>
    </row>
    <row r="260" spans="2:34" x14ac:dyDescent="0.25">
      <c r="B260" s="4"/>
      <c r="C260" s="56"/>
      <c r="D260" s="56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"/>
    </row>
    <row r="261" spans="2:34" x14ac:dyDescent="0.25">
      <c r="B261" s="4"/>
      <c r="C261" s="56"/>
      <c r="D261" s="56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"/>
    </row>
    <row r="262" spans="2:34" x14ac:dyDescent="0.25">
      <c r="B262" s="4"/>
      <c r="C262" s="56"/>
      <c r="D262" s="56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"/>
    </row>
    <row r="263" spans="2:34" x14ac:dyDescent="0.25">
      <c r="B263" s="4"/>
      <c r="C263" s="56"/>
      <c r="D263" s="56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"/>
    </row>
    <row r="264" spans="2:34" x14ac:dyDescent="0.25">
      <c r="B264" s="4"/>
      <c r="C264" s="56"/>
      <c r="D264" s="56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"/>
    </row>
    <row r="265" spans="2:34" x14ac:dyDescent="0.25">
      <c r="B265" s="4"/>
      <c r="C265" s="56"/>
      <c r="D265" s="56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"/>
    </row>
    <row r="266" spans="2:34" x14ac:dyDescent="0.25">
      <c r="B266" s="4"/>
      <c r="C266" s="56"/>
      <c r="D266" s="56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"/>
    </row>
    <row r="267" spans="2:34" x14ac:dyDescent="0.25">
      <c r="B267" s="4"/>
      <c r="C267" s="56"/>
      <c r="D267" s="56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"/>
    </row>
    <row r="268" spans="2:34" x14ac:dyDescent="0.25">
      <c r="B268" s="4"/>
      <c r="C268" s="56"/>
      <c r="D268" s="56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"/>
    </row>
    <row r="269" spans="2:34" x14ac:dyDescent="0.25">
      <c r="B269" s="4"/>
      <c r="C269" s="56"/>
      <c r="D269" s="56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"/>
    </row>
    <row r="270" spans="2:34" x14ac:dyDescent="0.25">
      <c r="B270" s="4"/>
      <c r="C270" s="56"/>
      <c r="D270" s="56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"/>
    </row>
    <row r="271" spans="2:34" x14ac:dyDescent="0.25">
      <c r="B271" s="4"/>
      <c r="C271" s="56"/>
      <c r="D271" s="56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"/>
    </row>
    <row r="272" spans="2:34" x14ac:dyDescent="0.25">
      <c r="B272" s="4"/>
      <c r="C272" s="56"/>
      <c r="D272" s="56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"/>
    </row>
    <row r="273" spans="2:34" x14ac:dyDescent="0.25">
      <c r="B273" s="4"/>
      <c r="C273" s="56"/>
      <c r="D273" s="56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"/>
    </row>
    <row r="274" spans="2:34" x14ac:dyDescent="0.25">
      <c r="B274" s="4"/>
      <c r="C274" s="56"/>
      <c r="D274" s="56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"/>
    </row>
    <row r="275" spans="2:34" x14ac:dyDescent="0.25">
      <c r="B275" s="4"/>
      <c r="C275" s="56"/>
      <c r="D275" s="56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"/>
    </row>
    <row r="276" spans="2:34" x14ac:dyDescent="0.25">
      <c r="B276" s="4"/>
      <c r="C276" s="56"/>
      <c r="D276" s="56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"/>
    </row>
    <row r="277" spans="2:34" x14ac:dyDescent="0.25">
      <c r="B277" s="4"/>
      <c r="C277" s="56"/>
      <c r="D277" s="56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"/>
    </row>
    <row r="278" spans="2:34" x14ac:dyDescent="0.25">
      <c r="B278" s="4"/>
      <c r="C278" s="56"/>
      <c r="D278" s="56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"/>
    </row>
    <row r="279" spans="2:34" x14ac:dyDescent="0.25">
      <c r="B279" s="4"/>
      <c r="C279" s="56"/>
      <c r="D279" s="56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"/>
    </row>
    <row r="280" spans="2:34" x14ac:dyDescent="0.25">
      <c r="B280" s="4"/>
      <c r="C280" s="56"/>
      <c r="D280" s="56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"/>
    </row>
    <row r="281" spans="2:34" x14ac:dyDescent="0.25">
      <c r="B281" s="4"/>
      <c r="C281" s="56"/>
      <c r="D281" s="56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"/>
    </row>
    <row r="282" spans="2:34" x14ac:dyDescent="0.25">
      <c r="B282" s="4"/>
      <c r="C282" s="56"/>
      <c r="D282" s="56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"/>
    </row>
    <row r="283" spans="2:34" x14ac:dyDescent="0.25">
      <c r="B283" s="4"/>
      <c r="C283" s="56"/>
      <c r="D283" s="56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"/>
    </row>
    <row r="284" spans="2:34" x14ac:dyDescent="0.25">
      <c r="B284" s="4"/>
      <c r="C284" s="56"/>
      <c r="D284" s="56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"/>
    </row>
    <row r="285" spans="2:34" x14ac:dyDescent="0.25">
      <c r="B285" s="4"/>
      <c r="C285" s="56"/>
      <c r="D285" s="56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"/>
    </row>
    <row r="286" spans="2:34" x14ac:dyDescent="0.25">
      <c r="B286" s="4"/>
      <c r="C286" s="56"/>
      <c r="D286" s="56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"/>
    </row>
    <row r="287" spans="2:34" x14ac:dyDescent="0.25">
      <c r="B287" s="4"/>
      <c r="C287" s="56"/>
      <c r="D287" s="56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"/>
    </row>
    <row r="288" spans="2:34" x14ac:dyDescent="0.25">
      <c r="B288" s="4"/>
      <c r="C288" s="56"/>
      <c r="D288" s="56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"/>
    </row>
    <row r="289" spans="2:34" x14ac:dyDescent="0.25">
      <c r="B289" s="4"/>
      <c r="C289" s="56"/>
      <c r="D289" s="56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"/>
    </row>
    <row r="290" spans="2:34" x14ac:dyDescent="0.25">
      <c r="B290" s="4"/>
      <c r="C290" s="56"/>
      <c r="D290" s="56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"/>
    </row>
    <row r="291" spans="2:34" x14ac:dyDescent="0.25">
      <c r="B291" s="4"/>
      <c r="C291" s="56"/>
      <c r="D291" s="56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"/>
    </row>
    <row r="292" spans="2:34" x14ac:dyDescent="0.25">
      <c r="B292" s="4"/>
      <c r="C292" s="56"/>
      <c r="D292" s="56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"/>
    </row>
    <row r="293" spans="2:34" x14ac:dyDescent="0.25">
      <c r="B293" s="4"/>
      <c r="C293" s="56"/>
      <c r="D293" s="56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"/>
    </row>
    <row r="294" spans="2:34" x14ac:dyDescent="0.25">
      <c r="B294" s="4"/>
      <c r="C294" s="56"/>
      <c r="D294" s="56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"/>
    </row>
    <row r="295" spans="2:34" x14ac:dyDescent="0.25">
      <c r="B295" s="4"/>
      <c r="C295" s="56"/>
      <c r="D295" s="56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"/>
    </row>
    <row r="296" spans="2:34" x14ac:dyDescent="0.25">
      <c r="B296" s="4"/>
      <c r="C296" s="56"/>
      <c r="D296" s="56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"/>
    </row>
    <row r="297" spans="2:34" x14ac:dyDescent="0.25">
      <c r="B297" s="4"/>
      <c r="C297" s="56"/>
      <c r="D297" s="56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"/>
    </row>
    <row r="298" spans="2:34" x14ac:dyDescent="0.25">
      <c r="B298" s="4"/>
      <c r="C298" s="56"/>
      <c r="D298" s="56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"/>
    </row>
    <row r="299" spans="2:34" x14ac:dyDescent="0.25">
      <c r="B299" s="4"/>
      <c r="C299" s="56"/>
      <c r="D299" s="56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"/>
    </row>
    <row r="300" spans="2:34" x14ac:dyDescent="0.25">
      <c r="B300" s="4"/>
      <c r="C300" s="56"/>
      <c r="D300" s="56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"/>
    </row>
    <row r="301" spans="2:34" x14ac:dyDescent="0.25">
      <c r="B301" s="4"/>
      <c r="C301" s="56"/>
      <c r="D301" s="56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"/>
    </row>
    <row r="302" spans="2:34" x14ac:dyDescent="0.25">
      <c r="B302" s="4"/>
      <c r="C302" s="56"/>
      <c r="D302" s="56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"/>
    </row>
    <row r="303" spans="2:34" x14ac:dyDescent="0.25">
      <c r="B303" s="4"/>
      <c r="C303" s="56"/>
      <c r="D303" s="56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"/>
    </row>
    <row r="304" spans="2:34" x14ac:dyDescent="0.25">
      <c r="B304" s="4"/>
      <c r="C304" s="56"/>
      <c r="D304" s="56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"/>
    </row>
    <row r="305" spans="2:34" x14ac:dyDescent="0.25">
      <c r="B305" s="4"/>
      <c r="C305" s="56"/>
      <c r="D305" s="56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"/>
    </row>
    <row r="306" spans="2:34" x14ac:dyDescent="0.25">
      <c r="B306" s="4"/>
      <c r="C306" s="56"/>
      <c r="D306" s="56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"/>
    </row>
    <row r="307" spans="2:34" x14ac:dyDescent="0.25">
      <c r="B307" s="4"/>
      <c r="C307" s="56"/>
      <c r="D307" s="56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"/>
    </row>
    <row r="308" spans="2:34" x14ac:dyDescent="0.25">
      <c r="B308" s="4"/>
      <c r="C308" s="56"/>
      <c r="D308" s="56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"/>
    </row>
    <row r="309" spans="2:34" x14ac:dyDescent="0.25">
      <c r="B309" s="4"/>
      <c r="C309" s="56"/>
      <c r="D309" s="56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"/>
    </row>
    <row r="310" spans="2:34" x14ac:dyDescent="0.25">
      <c r="B310" s="4"/>
      <c r="C310" s="56"/>
      <c r="D310" s="56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"/>
    </row>
    <row r="311" spans="2:34" x14ac:dyDescent="0.25">
      <c r="B311" s="4"/>
      <c r="C311" s="56"/>
      <c r="D311" s="56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"/>
    </row>
    <row r="312" spans="2:34" x14ac:dyDescent="0.25">
      <c r="B312" s="4"/>
      <c r="C312" s="56"/>
      <c r="D312" s="56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"/>
    </row>
    <row r="313" spans="2:34" x14ac:dyDescent="0.25">
      <c r="B313" s="4"/>
      <c r="C313" s="56"/>
      <c r="D313" s="56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"/>
    </row>
    <row r="314" spans="2:34" x14ac:dyDescent="0.25">
      <c r="B314" s="4"/>
      <c r="C314" s="56"/>
      <c r="D314" s="56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"/>
    </row>
    <row r="315" spans="2:34" x14ac:dyDescent="0.25">
      <c r="B315" s="4"/>
      <c r="C315" s="56"/>
      <c r="D315" s="56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"/>
    </row>
    <row r="316" spans="2:34" x14ac:dyDescent="0.25">
      <c r="B316" s="4"/>
      <c r="C316" s="56"/>
      <c r="D316" s="56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"/>
    </row>
    <row r="317" spans="2:34" x14ac:dyDescent="0.25">
      <c r="B317" s="4"/>
      <c r="C317" s="56"/>
      <c r="D317" s="56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"/>
    </row>
    <row r="318" spans="2:34" x14ac:dyDescent="0.25">
      <c r="B318" s="4"/>
      <c r="C318" s="56"/>
      <c r="D318" s="56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"/>
    </row>
    <row r="319" spans="2:34" x14ac:dyDescent="0.25">
      <c r="B319" s="4"/>
      <c r="C319" s="56"/>
      <c r="D319" s="56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"/>
    </row>
    <row r="320" spans="2:34" x14ac:dyDescent="0.25">
      <c r="B320" s="4"/>
      <c r="C320" s="56"/>
      <c r="D320" s="56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"/>
    </row>
    <row r="321" spans="2:34" x14ac:dyDescent="0.25">
      <c r="B321" s="4"/>
      <c r="C321" s="56"/>
      <c r="D321" s="56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"/>
    </row>
    <row r="322" spans="2:34" x14ac:dyDescent="0.25">
      <c r="B322" s="4"/>
      <c r="C322" s="56"/>
      <c r="D322" s="56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"/>
    </row>
    <row r="323" spans="2:34" x14ac:dyDescent="0.25">
      <c r="B323" s="4"/>
      <c r="C323" s="56"/>
      <c r="D323" s="56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"/>
    </row>
    <row r="324" spans="2:34" x14ac:dyDescent="0.25">
      <c r="B324" s="4"/>
      <c r="C324" s="56"/>
      <c r="D324" s="56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"/>
    </row>
    <row r="325" spans="2:34" x14ac:dyDescent="0.25">
      <c r="B325" s="4"/>
      <c r="C325" s="56"/>
      <c r="D325" s="56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"/>
    </row>
    <row r="326" spans="2:34" x14ac:dyDescent="0.25">
      <c r="B326" s="4"/>
      <c r="C326" s="56"/>
      <c r="D326" s="56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"/>
    </row>
    <row r="327" spans="2:34" x14ac:dyDescent="0.25">
      <c r="B327" s="4"/>
      <c r="C327" s="56"/>
      <c r="D327" s="56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"/>
    </row>
    <row r="328" spans="2:34" x14ac:dyDescent="0.25">
      <c r="B328" s="4"/>
      <c r="C328" s="56"/>
      <c r="D328" s="56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"/>
    </row>
    <row r="329" spans="2:34" x14ac:dyDescent="0.25">
      <c r="B329" s="4"/>
      <c r="C329" s="56"/>
      <c r="D329" s="56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"/>
    </row>
    <row r="330" spans="2:34" x14ac:dyDescent="0.25">
      <c r="B330" s="4"/>
      <c r="C330" s="56"/>
      <c r="D330" s="56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"/>
    </row>
    <row r="331" spans="2:34" x14ac:dyDescent="0.25">
      <c r="B331" s="4"/>
      <c r="C331" s="56"/>
      <c r="D331" s="56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"/>
    </row>
    <row r="332" spans="2:34" x14ac:dyDescent="0.25">
      <c r="B332" s="4"/>
      <c r="C332" s="56"/>
      <c r="D332" s="56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"/>
    </row>
    <row r="333" spans="2:34" x14ac:dyDescent="0.25">
      <c r="B333" s="4"/>
      <c r="C333" s="56"/>
      <c r="D333" s="56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"/>
    </row>
    <row r="334" spans="2:34" x14ac:dyDescent="0.25">
      <c r="B334" s="4"/>
      <c r="C334" s="56"/>
      <c r="D334" s="56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"/>
    </row>
    <row r="335" spans="2:34" x14ac:dyDescent="0.25">
      <c r="B335" s="4"/>
      <c r="C335" s="56"/>
      <c r="D335" s="56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"/>
    </row>
    <row r="336" spans="2:34" x14ac:dyDescent="0.25">
      <c r="B336" s="4"/>
      <c r="C336" s="56"/>
      <c r="D336" s="56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"/>
    </row>
    <row r="337" spans="1:34" ht="15" x14ac:dyDescent="0.25">
      <c r="B337" s="28"/>
      <c r="C337" s="56"/>
      <c r="D337" s="56"/>
      <c r="E337" s="56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"/>
    </row>
    <row r="338" spans="1:34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 s="4"/>
    </row>
    <row r="339" spans="1:34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 s="4"/>
    </row>
    <row r="340" spans="1:34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 s="4"/>
    </row>
    <row r="341" spans="1:34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 s="4"/>
    </row>
    <row r="342" spans="1:34" ht="139.9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 s="4"/>
    </row>
    <row r="343" spans="1:34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 s="4"/>
    </row>
    <row r="344" spans="1:34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 s="4"/>
    </row>
    <row r="345" spans="1:34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 s="4"/>
    </row>
    <row r="346" spans="1:34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 s="4"/>
    </row>
    <row r="347" spans="1:34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 s="4"/>
    </row>
    <row r="348" spans="1:34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 s="4"/>
    </row>
    <row r="349" spans="1:34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 s="4"/>
    </row>
    <row r="350" spans="1:34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 s="4"/>
    </row>
    <row r="351" spans="1:34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 s="4"/>
    </row>
    <row r="352" spans="1:34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 s="4"/>
    </row>
    <row r="353" spans="1:34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 s="4"/>
    </row>
    <row r="354" spans="1:34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x14ac:dyDescent="0.25">
      <c r="B357" s="4"/>
      <c r="C357" s="179"/>
      <c r="D357" s="179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3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x14ac:dyDescent="0.25">
      <c r="B358" s="4"/>
      <c r="AG358" s="4"/>
      <c r="AH358" s="4"/>
    </row>
    <row r="359" spans="1:34" x14ac:dyDescent="0.25">
      <c r="B359" s="4"/>
      <c r="AG359" s="4"/>
      <c r="AH359" s="4"/>
    </row>
    <row r="360" spans="1:34" x14ac:dyDescent="0.25">
      <c r="B360" s="4"/>
      <c r="AG360" s="4"/>
      <c r="AH360" s="4"/>
    </row>
    <row r="361" spans="1:34" x14ac:dyDescent="0.25">
      <c r="B361" s="4"/>
      <c r="AG361" s="4"/>
      <c r="AH361" s="4"/>
    </row>
    <row r="362" spans="1:34" x14ac:dyDescent="0.25">
      <c r="B362" s="4"/>
      <c r="AG362" s="4"/>
      <c r="AH362" s="4"/>
    </row>
    <row r="363" spans="1:34" x14ac:dyDescent="0.25">
      <c r="B363" s="4"/>
      <c r="AG363" s="4"/>
      <c r="AH363" s="4"/>
    </row>
    <row r="365" spans="1:34" ht="14.25" x14ac:dyDescent="0.25"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</row>
    <row r="381" spans="2:33" ht="15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2:33" ht="15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2:33" ht="15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2:33" ht="15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2:33" ht="95.1" customHeigh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2:33" ht="15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2:33" ht="15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2:33" ht="15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2:33" ht="15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2:33" ht="15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2:33" ht="15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2:33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5" spans="2:33" x14ac:dyDescent="0.25">
      <c r="C395" s="180"/>
      <c r="D395" s="180"/>
      <c r="V395" s="78"/>
    </row>
    <row r="396" spans="2:33" ht="15" x14ac:dyDescent="0.25">
      <c r="C396" s="79"/>
      <c r="D396" s="80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81"/>
      <c r="W396" s="76"/>
      <c r="X396" s="77"/>
      <c r="Y396" s="77"/>
      <c r="Z396" s="77"/>
      <c r="AA396" s="118"/>
      <c r="AB396" s="77"/>
      <c r="AC396" s="77"/>
      <c r="AD396" s="76"/>
      <c r="AE396" s="76"/>
      <c r="AF396" s="76"/>
      <c r="AG396" s="76"/>
    </row>
    <row r="397" spans="2:33" ht="14.25" x14ac:dyDescent="0.25">
      <c r="D397" s="172"/>
      <c r="E397" s="172"/>
      <c r="F397" s="172"/>
      <c r="G397" s="76"/>
      <c r="H397" s="76"/>
      <c r="I397" s="76"/>
      <c r="J397" s="76"/>
      <c r="K397" s="81"/>
      <c r="L397" s="81"/>
      <c r="M397" s="81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7"/>
      <c r="Y397" s="77"/>
      <c r="Z397" s="77"/>
      <c r="AA397" s="118"/>
      <c r="AB397" s="77"/>
      <c r="AC397" s="77"/>
      <c r="AD397" s="76"/>
      <c r="AE397" s="76"/>
      <c r="AF397" s="76"/>
      <c r="AG397" s="76"/>
    </row>
    <row r="398" spans="2:33" ht="14.25" x14ac:dyDescent="0.25"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7"/>
      <c r="Y398" s="77"/>
      <c r="Z398" s="77"/>
      <c r="AA398" s="118"/>
      <c r="AB398" s="77"/>
      <c r="AC398" s="77"/>
      <c r="AD398" s="76"/>
      <c r="AE398" s="76"/>
      <c r="AF398" s="76"/>
      <c r="AG398" s="76"/>
    </row>
    <row r="399" spans="2:33" ht="14.25" x14ac:dyDescent="0.25"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172"/>
      <c r="U399" s="172"/>
      <c r="V399" s="172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</row>
    <row r="400" spans="2:33" ht="14.25" x14ac:dyDescent="0.25"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172"/>
      <c r="U400" s="172"/>
      <c r="V400" s="172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</row>
    <row r="401" spans="4:33" ht="14.25" x14ac:dyDescent="0.25"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172"/>
      <c r="AF401" s="172"/>
      <c r="AG401" s="76"/>
    </row>
    <row r="402" spans="4:33" ht="14.25" x14ac:dyDescent="0.25"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172"/>
      <c r="AF402" s="172"/>
      <c r="AG402" s="76"/>
    </row>
    <row r="403" spans="4:33" ht="14.25" x14ac:dyDescent="0.25"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</row>
    <row r="404" spans="4:33" ht="14.25" x14ac:dyDescent="0.25"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</row>
    <row r="411" spans="4:33" x14ac:dyDescent="0.25">
      <c r="M411" s="1" t="s">
        <v>155</v>
      </c>
    </row>
  </sheetData>
  <mergeCells count="337">
    <mergeCell ref="C6:G6"/>
    <mergeCell ref="O10:Q10"/>
    <mergeCell ref="S10:V10"/>
    <mergeCell ref="AC10:AF10"/>
    <mergeCell ref="C20:D20"/>
    <mergeCell ref="C26:D26"/>
    <mergeCell ref="O29:Q29"/>
    <mergeCell ref="S29:V29"/>
    <mergeCell ref="AC29:AF29"/>
    <mergeCell ref="D10:D11"/>
    <mergeCell ref="D29:D30"/>
    <mergeCell ref="E10:E11"/>
    <mergeCell ref="E29:E30"/>
    <mergeCell ref="F10:F11"/>
    <mergeCell ref="F29:F30"/>
    <mergeCell ref="G10:G11"/>
    <mergeCell ref="G29:G30"/>
    <mergeCell ref="H10:H11"/>
    <mergeCell ref="H29:H30"/>
    <mergeCell ref="I10:I11"/>
    <mergeCell ref="I29:I30"/>
    <mergeCell ref="K10:K11"/>
    <mergeCell ref="K29:K30"/>
    <mergeCell ref="W10:W11"/>
    <mergeCell ref="C41:D41"/>
    <mergeCell ref="C51:G51"/>
    <mergeCell ref="O55:Q55"/>
    <mergeCell ref="S55:V55"/>
    <mergeCell ref="AC55:AF55"/>
    <mergeCell ref="D55:D56"/>
    <mergeCell ref="E55:E56"/>
    <mergeCell ref="F55:F56"/>
    <mergeCell ref="G55:G56"/>
    <mergeCell ref="H55:H56"/>
    <mergeCell ref="I55:I56"/>
    <mergeCell ref="K55:K56"/>
    <mergeCell ref="C67:D67"/>
    <mergeCell ref="C68:G68"/>
    <mergeCell ref="O72:Q72"/>
    <mergeCell ref="S72:V72"/>
    <mergeCell ref="AC72:AF72"/>
    <mergeCell ref="C79:D79"/>
    <mergeCell ref="O83:Q83"/>
    <mergeCell ref="S83:V83"/>
    <mergeCell ref="AC83:AF83"/>
    <mergeCell ref="C72:C73"/>
    <mergeCell ref="C83:C84"/>
    <mergeCell ref="D72:D73"/>
    <mergeCell ref="D83:D84"/>
    <mergeCell ref="E72:E73"/>
    <mergeCell ref="E83:E84"/>
    <mergeCell ref="F72:F73"/>
    <mergeCell ref="F83:F84"/>
    <mergeCell ref="G72:G73"/>
    <mergeCell ref="G83:G84"/>
    <mergeCell ref="H72:H73"/>
    <mergeCell ref="H83:H84"/>
    <mergeCell ref="I72:I73"/>
    <mergeCell ref="I83:I84"/>
    <mergeCell ref="K72:K73"/>
    <mergeCell ref="C91:D91"/>
    <mergeCell ref="C93:F93"/>
    <mergeCell ref="B95:E95"/>
    <mergeCell ref="O97:Q97"/>
    <mergeCell ref="S97:V97"/>
    <mergeCell ref="AC97:AF97"/>
    <mergeCell ref="C102:D102"/>
    <mergeCell ref="O111:Q111"/>
    <mergeCell ref="S111:V111"/>
    <mergeCell ref="AC111:AF111"/>
    <mergeCell ref="C97:C98"/>
    <mergeCell ref="C111:C112"/>
    <mergeCell ref="D97:D98"/>
    <mergeCell ref="D111:D112"/>
    <mergeCell ref="E97:E98"/>
    <mergeCell ref="E111:E112"/>
    <mergeCell ref="F97:F98"/>
    <mergeCell ref="F111:F112"/>
    <mergeCell ref="G97:G98"/>
    <mergeCell ref="G111:G112"/>
    <mergeCell ref="H97:H98"/>
    <mergeCell ref="H111:H112"/>
    <mergeCell ref="I97:I98"/>
    <mergeCell ref="I111:I112"/>
    <mergeCell ref="C120:D120"/>
    <mergeCell ref="C122:F122"/>
    <mergeCell ref="C124:D124"/>
    <mergeCell ref="O125:Q125"/>
    <mergeCell ref="S125:V125"/>
    <mergeCell ref="AC125:AF125"/>
    <mergeCell ref="C129:D129"/>
    <mergeCell ref="C131:F131"/>
    <mergeCell ref="C132:D132"/>
    <mergeCell ref="C125:C126"/>
    <mergeCell ref="D125:D126"/>
    <mergeCell ref="E125:E126"/>
    <mergeCell ref="F125:F126"/>
    <mergeCell ref="G125:G126"/>
    <mergeCell ref="H125:H126"/>
    <mergeCell ref="I125:I126"/>
    <mergeCell ref="S134:V134"/>
    <mergeCell ref="AC134:AF134"/>
    <mergeCell ref="C140:D140"/>
    <mergeCell ref="C146:G146"/>
    <mergeCell ref="C148:D148"/>
    <mergeCell ref="O150:Q150"/>
    <mergeCell ref="S150:V150"/>
    <mergeCell ref="AC150:AF150"/>
    <mergeCell ref="C134:C135"/>
    <mergeCell ref="C150:C151"/>
    <mergeCell ref="D134:D135"/>
    <mergeCell ref="D150:D151"/>
    <mergeCell ref="E134:E135"/>
    <mergeCell ref="E150:E151"/>
    <mergeCell ref="F134:F135"/>
    <mergeCell ref="F150:F151"/>
    <mergeCell ref="G134:G135"/>
    <mergeCell ref="G150:G151"/>
    <mergeCell ref="H134:H135"/>
    <mergeCell ref="H150:H151"/>
    <mergeCell ref="I134:I135"/>
    <mergeCell ref="I150:I151"/>
    <mergeCell ref="W150:W151"/>
    <mergeCell ref="C155:D155"/>
    <mergeCell ref="C158:D158"/>
    <mergeCell ref="O160:Q160"/>
    <mergeCell ref="S160:V160"/>
    <mergeCell ref="AC160:AF160"/>
    <mergeCell ref="C169:D169"/>
    <mergeCell ref="C171:H171"/>
    <mergeCell ref="C173:D173"/>
    <mergeCell ref="O174:Q174"/>
    <mergeCell ref="S174:V174"/>
    <mergeCell ref="AC174:AF174"/>
    <mergeCell ref="C160:C161"/>
    <mergeCell ref="C174:C175"/>
    <mergeCell ref="D160:D161"/>
    <mergeCell ref="D174:D175"/>
    <mergeCell ref="E160:E161"/>
    <mergeCell ref="E174:E175"/>
    <mergeCell ref="F160:F161"/>
    <mergeCell ref="F174:F175"/>
    <mergeCell ref="G160:G161"/>
    <mergeCell ref="G174:G175"/>
    <mergeCell ref="H160:H161"/>
    <mergeCell ref="H174:H175"/>
    <mergeCell ref="I160:I161"/>
    <mergeCell ref="S194:V194"/>
    <mergeCell ref="AC194:AF194"/>
    <mergeCell ref="C198:D198"/>
    <mergeCell ref="C199:D199"/>
    <mergeCell ref="O201:Q201"/>
    <mergeCell ref="S201:V201"/>
    <mergeCell ref="AC201:AF201"/>
    <mergeCell ref="C194:C195"/>
    <mergeCell ref="C201:C202"/>
    <mergeCell ref="D194:D195"/>
    <mergeCell ref="D201:D202"/>
    <mergeCell ref="E194:E195"/>
    <mergeCell ref="E201:E202"/>
    <mergeCell ref="F194:F195"/>
    <mergeCell ref="F201:F202"/>
    <mergeCell ref="G194:G195"/>
    <mergeCell ref="G201:G202"/>
    <mergeCell ref="H194:H195"/>
    <mergeCell ref="H201:H202"/>
    <mergeCell ref="K201:K202"/>
    <mergeCell ref="E232:E233"/>
    <mergeCell ref="F217:F218"/>
    <mergeCell ref="F232:F233"/>
    <mergeCell ref="G217:G218"/>
    <mergeCell ref="G232:G233"/>
    <mergeCell ref="H217:H218"/>
    <mergeCell ref="H232:H233"/>
    <mergeCell ref="K217:K218"/>
    <mergeCell ref="C187:D187"/>
    <mergeCell ref="C190:H190"/>
    <mergeCell ref="C192:D192"/>
    <mergeCell ref="D240:F240"/>
    <mergeCell ref="T242:V242"/>
    <mergeCell ref="T243:V243"/>
    <mergeCell ref="AE243:AF243"/>
    <mergeCell ref="AE244:AF244"/>
    <mergeCell ref="C357:D357"/>
    <mergeCell ref="C395:D395"/>
    <mergeCell ref="D397:F397"/>
    <mergeCell ref="C209:D209"/>
    <mergeCell ref="C213:H213"/>
    <mergeCell ref="C215:D215"/>
    <mergeCell ref="O217:Q217"/>
    <mergeCell ref="S217:V217"/>
    <mergeCell ref="AC217:AF217"/>
    <mergeCell ref="C229:D229"/>
    <mergeCell ref="C230:D230"/>
    <mergeCell ref="O232:Q232"/>
    <mergeCell ref="S232:V232"/>
    <mergeCell ref="AC232:AF232"/>
    <mergeCell ref="C217:C218"/>
    <mergeCell ref="C232:C233"/>
    <mergeCell ref="D217:D218"/>
    <mergeCell ref="D232:D233"/>
    <mergeCell ref="E217:E218"/>
    <mergeCell ref="T399:V399"/>
    <mergeCell ref="T400:V400"/>
    <mergeCell ref="AE401:AF401"/>
    <mergeCell ref="AE402:AF402"/>
    <mergeCell ref="B10:B11"/>
    <mergeCell ref="B29:B30"/>
    <mergeCell ref="B55:B56"/>
    <mergeCell ref="B72:B73"/>
    <mergeCell ref="B83:B84"/>
    <mergeCell ref="B97:B98"/>
    <mergeCell ref="B111:B112"/>
    <mergeCell ref="B125:B126"/>
    <mergeCell ref="B134:B135"/>
    <mergeCell ref="B150:B151"/>
    <mergeCell ref="B160:B161"/>
    <mergeCell ref="B174:B175"/>
    <mergeCell ref="B194:B195"/>
    <mergeCell ref="B201:B202"/>
    <mergeCell ref="B217:B218"/>
    <mergeCell ref="B232:B233"/>
    <mergeCell ref="C10:C11"/>
    <mergeCell ref="C29:C30"/>
    <mergeCell ref="C55:C56"/>
    <mergeCell ref="C236:D236"/>
    <mergeCell ref="I174:I175"/>
    <mergeCell ref="I194:I195"/>
    <mergeCell ref="I201:I202"/>
    <mergeCell ref="I217:I218"/>
    <mergeCell ref="I232:I233"/>
    <mergeCell ref="J10:J11"/>
    <mergeCell ref="J29:J30"/>
    <mergeCell ref="J55:J56"/>
    <mergeCell ref="J72:J73"/>
    <mergeCell ref="J83:J84"/>
    <mergeCell ref="J97:J98"/>
    <mergeCell ref="J111:J112"/>
    <mergeCell ref="J125:J126"/>
    <mergeCell ref="J134:J135"/>
    <mergeCell ref="J150:J151"/>
    <mergeCell ref="J160:J161"/>
    <mergeCell ref="J174:J175"/>
    <mergeCell ref="J194:J195"/>
    <mergeCell ref="J201:J202"/>
    <mergeCell ref="J217:J218"/>
    <mergeCell ref="J232:J233"/>
    <mergeCell ref="R10:R11"/>
    <mergeCell ref="R29:R30"/>
    <mergeCell ref="R55:R56"/>
    <mergeCell ref="R72:R73"/>
    <mergeCell ref="R83:R84"/>
    <mergeCell ref="R97:R98"/>
    <mergeCell ref="R111:R112"/>
    <mergeCell ref="R125:R126"/>
    <mergeCell ref="K174:K175"/>
    <mergeCell ref="O134:Q134"/>
    <mergeCell ref="W72:W73"/>
    <mergeCell ref="W83:W84"/>
    <mergeCell ref="W97:W98"/>
    <mergeCell ref="W111:W112"/>
    <mergeCell ref="W125:W126"/>
    <mergeCell ref="W134:W135"/>
    <mergeCell ref="K232:K233"/>
    <mergeCell ref="R134:R135"/>
    <mergeCell ref="R150:R151"/>
    <mergeCell ref="R160:R161"/>
    <mergeCell ref="R174:R175"/>
    <mergeCell ref="R194:R195"/>
    <mergeCell ref="R201:R202"/>
    <mergeCell ref="R217:R218"/>
    <mergeCell ref="R232:R233"/>
    <mergeCell ref="K83:K84"/>
    <mergeCell ref="K97:K98"/>
    <mergeCell ref="K111:K112"/>
    <mergeCell ref="K125:K126"/>
    <mergeCell ref="K134:K135"/>
    <mergeCell ref="K150:K151"/>
    <mergeCell ref="K160:K161"/>
    <mergeCell ref="K194:K195"/>
    <mergeCell ref="O194:Q194"/>
    <mergeCell ref="W160:W161"/>
    <mergeCell ref="W174:W175"/>
    <mergeCell ref="W194:W195"/>
    <mergeCell ref="W201:W202"/>
    <mergeCell ref="W217:W218"/>
    <mergeCell ref="W232:W233"/>
    <mergeCell ref="X10:X11"/>
    <mergeCell ref="X29:X30"/>
    <mergeCell ref="X55:X56"/>
    <mergeCell ref="X72:X73"/>
    <mergeCell ref="X83:X84"/>
    <mergeCell ref="X97:X98"/>
    <mergeCell ref="X111:X112"/>
    <mergeCell ref="X125:X126"/>
    <mergeCell ref="X134:X135"/>
    <mergeCell ref="X150:X151"/>
    <mergeCell ref="X160:X161"/>
    <mergeCell ref="X174:X175"/>
    <mergeCell ref="X194:X195"/>
    <mergeCell ref="X201:X202"/>
    <mergeCell ref="X217:X218"/>
    <mergeCell ref="X232:X233"/>
    <mergeCell ref="W29:W30"/>
    <mergeCell ref="W55:W56"/>
    <mergeCell ref="AG10:AG11"/>
    <mergeCell ref="AG29:AG30"/>
    <mergeCell ref="AG55:AG56"/>
    <mergeCell ref="AG72:AG73"/>
    <mergeCell ref="AG83:AG84"/>
    <mergeCell ref="AG97:AG98"/>
    <mergeCell ref="AG111:AG112"/>
    <mergeCell ref="AG125:AG126"/>
    <mergeCell ref="AB10:AB11"/>
    <mergeCell ref="AB29:AB30"/>
    <mergeCell ref="AB55:AB56"/>
    <mergeCell ref="AB72:AB73"/>
    <mergeCell ref="AB83:AB84"/>
    <mergeCell ref="AB97:AB98"/>
    <mergeCell ref="AB111:AB112"/>
    <mergeCell ref="AB125:AB126"/>
    <mergeCell ref="AG232:AG233"/>
    <mergeCell ref="AB134:AB135"/>
    <mergeCell ref="AB150:AB151"/>
    <mergeCell ref="AB160:AB161"/>
    <mergeCell ref="AB174:AB175"/>
    <mergeCell ref="AB194:AB195"/>
    <mergeCell ref="AB201:AB202"/>
    <mergeCell ref="AB217:AB218"/>
    <mergeCell ref="AB232:AB233"/>
    <mergeCell ref="AG134:AG135"/>
    <mergeCell ref="AG150:AG151"/>
    <mergeCell ref="AG160:AG161"/>
    <mergeCell ref="AG174:AG175"/>
    <mergeCell ref="AG194:AG195"/>
    <mergeCell ref="AG201:AG202"/>
    <mergeCell ref="AG217:AG218"/>
  </mergeCells>
  <pageMargins left="0.74803149606299213" right="0.74803149606299213" top="0.98425196850393704" bottom="0.98425196850393704" header="0.51181102362204722" footer="0.51181102362204722"/>
  <pageSetup scale="30" fitToHeight="0" orientation="landscape" useFirstPageNumber="1" r:id="rId1"/>
  <headerFooter scaleWithDoc="0"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1"/>
  <sheetViews>
    <sheetView tabSelected="1" topLeftCell="K1" zoomScale="80" zoomScaleNormal="80" workbookViewId="0">
      <selection activeCell="B2" sqref="B2:AG24"/>
    </sheetView>
  </sheetViews>
  <sheetFormatPr defaultColWidth="9.140625" defaultRowHeight="12.75" x14ac:dyDescent="0.25"/>
  <cols>
    <col min="1" max="1" width="8" style="1" customWidth="1"/>
    <col min="2" max="2" width="13.7109375" style="1" customWidth="1"/>
    <col min="3" max="3" width="15.140625" style="1" customWidth="1"/>
    <col min="4" max="4" width="16.85546875" style="1" customWidth="1"/>
    <col min="5" max="5" width="9.140625" style="1"/>
    <col min="6" max="6" width="16.42578125" style="1" customWidth="1"/>
    <col min="7" max="7" width="13.28515625" style="1" customWidth="1"/>
    <col min="8" max="8" width="14.7109375" style="1" customWidth="1"/>
    <col min="9" max="9" width="11.140625" style="1" customWidth="1"/>
    <col min="10" max="10" width="13.140625" style="1" customWidth="1"/>
    <col min="11" max="11" width="12.5703125" style="1" customWidth="1"/>
    <col min="12" max="13" width="12.5703125" style="1" hidden="1" customWidth="1"/>
    <col min="14" max="14" width="12.7109375" style="1" customWidth="1"/>
    <col min="15" max="15" width="11.42578125" style="1" customWidth="1"/>
    <col min="16" max="16" width="10.42578125" style="1" customWidth="1"/>
    <col min="17" max="18" width="12.28515625" style="1" customWidth="1"/>
    <col min="19" max="19" width="9.140625" style="1" customWidth="1"/>
    <col min="20" max="20" width="7" style="1" customWidth="1"/>
    <col min="21" max="21" width="9.28515625" style="1" customWidth="1"/>
    <col min="22" max="22" width="7" style="1" customWidth="1"/>
    <col min="23" max="23" width="10.5703125" style="1" customWidth="1"/>
    <col min="24" max="29" width="13.140625" style="1" customWidth="1"/>
    <col min="30" max="30" width="13" style="1" customWidth="1"/>
    <col min="31" max="31" width="10.85546875" style="1" customWidth="1"/>
    <col min="32" max="32" width="10.5703125" style="1" customWidth="1"/>
    <col min="33" max="33" width="10.28515625" style="1" customWidth="1"/>
    <col min="34" max="269" width="9.140625" style="1"/>
    <col min="270" max="270" width="11.28515625" style="1" customWidth="1"/>
    <col min="271" max="271" width="13.28515625" style="1" customWidth="1"/>
    <col min="272" max="272" width="10.7109375" style="1" customWidth="1"/>
    <col min="273" max="273" width="9.5703125" style="1" customWidth="1"/>
    <col min="274" max="275" width="9.140625" style="1"/>
    <col min="276" max="276" width="12.7109375" style="1" customWidth="1"/>
    <col min="277" max="277" width="10.7109375" style="1" customWidth="1"/>
    <col min="278" max="278" width="12.5703125" style="1" customWidth="1"/>
    <col min="279" max="279" width="9.140625" style="1"/>
    <col min="280" max="280" width="11" style="1" customWidth="1"/>
    <col min="281" max="281" width="10.85546875" style="1" customWidth="1"/>
    <col min="282" max="525" width="9.140625" style="1"/>
    <col min="526" max="526" width="11.28515625" style="1" customWidth="1"/>
    <col min="527" max="527" width="13.28515625" style="1" customWidth="1"/>
    <col min="528" max="528" width="10.7109375" style="1" customWidth="1"/>
    <col min="529" max="529" width="9.5703125" style="1" customWidth="1"/>
    <col min="530" max="531" width="9.140625" style="1"/>
    <col min="532" max="532" width="12.7109375" style="1" customWidth="1"/>
    <col min="533" max="533" width="10.7109375" style="1" customWidth="1"/>
    <col min="534" max="534" width="12.5703125" style="1" customWidth="1"/>
    <col min="535" max="535" width="9.140625" style="1"/>
    <col min="536" max="536" width="11" style="1" customWidth="1"/>
    <col min="537" max="537" width="10.85546875" style="1" customWidth="1"/>
    <col min="538" max="781" width="9.140625" style="1"/>
    <col min="782" max="782" width="11.28515625" style="1" customWidth="1"/>
    <col min="783" max="783" width="13.28515625" style="1" customWidth="1"/>
    <col min="784" max="784" width="10.7109375" style="1" customWidth="1"/>
    <col min="785" max="785" width="9.5703125" style="1" customWidth="1"/>
    <col min="786" max="787" width="9.140625" style="1"/>
    <col min="788" max="788" width="12.7109375" style="1" customWidth="1"/>
    <col min="789" max="789" width="10.7109375" style="1" customWidth="1"/>
    <col min="790" max="790" width="12.5703125" style="1" customWidth="1"/>
    <col min="791" max="791" width="9.140625" style="1"/>
    <col min="792" max="792" width="11" style="1" customWidth="1"/>
    <col min="793" max="793" width="10.85546875" style="1" customWidth="1"/>
    <col min="794" max="1037" width="9.140625" style="1"/>
    <col min="1038" max="1038" width="11.28515625" style="1" customWidth="1"/>
    <col min="1039" max="1039" width="13.28515625" style="1" customWidth="1"/>
    <col min="1040" max="1040" width="10.7109375" style="1" customWidth="1"/>
    <col min="1041" max="1041" width="9.5703125" style="1" customWidth="1"/>
    <col min="1042" max="1043" width="9.140625" style="1"/>
    <col min="1044" max="1044" width="12.7109375" style="1" customWidth="1"/>
    <col min="1045" max="1045" width="10.7109375" style="1" customWidth="1"/>
    <col min="1046" max="1046" width="12.5703125" style="1" customWidth="1"/>
    <col min="1047" max="1047" width="9.140625" style="1"/>
    <col min="1048" max="1048" width="11" style="1" customWidth="1"/>
    <col min="1049" max="1049" width="10.85546875" style="1" customWidth="1"/>
    <col min="1050" max="1293" width="9.140625" style="1"/>
    <col min="1294" max="1294" width="11.28515625" style="1" customWidth="1"/>
    <col min="1295" max="1295" width="13.28515625" style="1" customWidth="1"/>
    <col min="1296" max="1296" width="10.7109375" style="1" customWidth="1"/>
    <col min="1297" max="1297" width="9.5703125" style="1" customWidth="1"/>
    <col min="1298" max="1299" width="9.140625" style="1"/>
    <col min="1300" max="1300" width="12.7109375" style="1" customWidth="1"/>
    <col min="1301" max="1301" width="10.7109375" style="1" customWidth="1"/>
    <col min="1302" max="1302" width="12.5703125" style="1" customWidth="1"/>
    <col min="1303" max="1303" width="9.140625" style="1"/>
    <col min="1304" max="1304" width="11" style="1" customWidth="1"/>
    <col min="1305" max="1305" width="10.85546875" style="1" customWidth="1"/>
    <col min="1306" max="1549" width="9.140625" style="1"/>
    <col min="1550" max="1550" width="11.28515625" style="1" customWidth="1"/>
    <col min="1551" max="1551" width="13.28515625" style="1" customWidth="1"/>
    <col min="1552" max="1552" width="10.7109375" style="1" customWidth="1"/>
    <col min="1553" max="1553" width="9.5703125" style="1" customWidth="1"/>
    <col min="1554" max="1555" width="9.140625" style="1"/>
    <col min="1556" max="1556" width="12.7109375" style="1" customWidth="1"/>
    <col min="1557" max="1557" width="10.7109375" style="1" customWidth="1"/>
    <col min="1558" max="1558" width="12.5703125" style="1" customWidth="1"/>
    <col min="1559" max="1559" width="9.140625" style="1"/>
    <col min="1560" max="1560" width="11" style="1" customWidth="1"/>
    <col min="1561" max="1561" width="10.85546875" style="1" customWidth="1"/>
    <col min="1562" max="1805" width="9.140625" style="1"/>
    <col min="1806" max="1806" width="11.28515625" style="1" customWidth="1"/>
    <col min="1807" max="1807" width="13.28515625" style="1" customWidth="1"/>
    <col min="1808" max="1808" width="10.7109375" style="1" customWidth="1"/>
    <col min="1809" max="1809" width="9.5703125" style="1" customWidth="1"/>
    <col min="1810" max="1811" width="9.140625" style="1"/>
    <col min="1812" max="1812" width="12.7109375" style="1" customWidth="1"/>
    <col min="1813" max="1813" width="10.7109375" style="1" customWidth="1"/>
    <col min="1814" max="1814" width="12.5703125" style="1" customWidth="1"/>
    <col min="1815" max="1815" width="9.140625" style="1"/>
    <col min="1816" max="1816" width="11" style="1" customWidth="1"/>
    <col min="1817" max="1817" width="10.85546875" style="1" customWidth="1"/>
    <col min="1818" max="2061" width="9.140625" style="1"/>
    <col min="2062" max="2062" width="11.28515625" style="1" customWidth="1"/>
    <col min="2063" max="2063" width="13.28515625" style="1" customWidth="1"/>
    <col min="2064" max="2064" width="10.7109375" style="1" customWidth="1"/>
    <col min="2065" max="2065" width="9.5703125" style="1" customWidth="1"/>
    <col min="2066" max="2067" width="9.140625" style="1"/>
    <col min="2068" max="2068" width="12.7109375" style="1" customWidth="1"/>
    <col min="2069" max="2069" width="10.7109375" style="1" customWidth="1"/>
    <col min="2070" max="2070" width="12.5703125" style="1" customWidth="1"/>
    <col min="2071" max="2071" width="9.140625" style="1"/>
    <col min="2072" max="2072" width="11" style="1" customWidth="1"/>
    <col min="2073" max="2073" width="10.85546875" style="1" customWidth="1"/>
    <col min="2074" max="2317" width="9.140625" style="1"/>
    <col min="2318" max="2318" width="11.28515625" style="1" customWidth="1"/>
    <col min="2319" max="2319" width="13.28515625" style="1" customWidth="1"/>
    <col min="2320" max="2320" width="10.7109375" style="1" customWidth="1"/>
    <col min="2321" max="2321" width="9.5703125" style="1" customWidth="1"/>
    <col min="2322" max="2323" width="9.140625" style="1"/>
    <col min="2324" max="2324" width="12.7109375" style="1" customWidth="1"/>
    <col min="2325" max="2325" width="10.7109375" style="1" customWidth="1"/>
    <col min="2326" max="2326" width="12.5703125" style="1" customWidth="1"/>
    <col min="2327" max="2327" width="9.140625" style="1"/>
    <col min="2328" max="2328" width="11" style="1" customWidth="1"/>
    <col min="2329" max="2329" width="10.85546875" style="1" customWidth="1"/>
    <col min="2330" max="2573" width="9.140625" style="1"/>
    <col min="2574" max="2574" width="11.28515625" style="1" customWidth="1"/>
    <col min="2575" max="2575" width="13.28515625" style="1" customWidth="1"/>
    <col min="2576" max="2576" width="10.7109375" style="1" customWidth="1"/>
    <col min="2577" max="2577" width="9.5703125" style="1" customWidth="1"/>
    <col min="2578" max="2579" width="9.140625" style="1"/>
    <col min="2580" max="2580" width="12.7109375" style="1" customWidth="1"/>
    <col min="2581" max="2581" width="10.7109375" style="1" customWidth="1"/>
    <col min="2582" max="2582" width="12.5703125" style="1" customWidth="1"/>
    <col min="2583" max="2583" width="9.140625" style="1"/>
    <col min="2584" max="2584" width="11" style="1" customWidth="1"/>
    <col min="2585" max="2585" width="10.85546875" style="1" customWidth="1"/>
    <col min="2586" max="2829" width="9.140625" style="1"/>
    <col min="2830" max="2830" width="11.28515625" style="1" customWidth="1"/>
    <col min="2831" max="2831" width="13.28515625" style="1" customWidth="1"/>
    <col min="2832" max="2832" width="10.7109375" style="1" customWidth="1"/>
    <col min="2833" max="2833" width="9.5703125" style="1" customWidth="1"/>
    <col min="2834" max="2835" width="9.140625" style="1"/>
    <col min="2836" max="2836" width="12.7109375" style="1" customWidth="1"/>
    <col min="2837" max="2837" width="10.7109375" style="1" customWidth="1"/>
    <col min="2838" max="2838" width="12.5703125" style="1" customWidth="1"/>
    <col min="2839" max="2839" width="9.140625" style="1"/>
    <col min="2840" max="2840" width="11" style="1" customWidth="1"/>
    <col min="2841" max="2841" width="10.85546875" style="1" customWidth="1"/>
    <col min="2842" max="3085" width="9.140625" style="1"/>
    <col min="3086" max="3086" width="11.28515625" style="1" customWidth="1"/>
    <col min="3087" max="3087" width="13.28515625" style="1" customWidth="1"/>
    <col min="3088" max="3088" width="10.7109375" style="1" customWidth="1"/>
    <col min="3089" max="3089" width="9.5703125" style="1" customWidth="1"/>
    <col min="3090" max="3091" width="9.140625" style="1"/>
    <col min="3092" max="3092" width="12.7109375" style="1" customWidth="1"/>
    <col min="3093" max="3093" width="10.7109375" style="1" customWidth="1"/>
    <col min="3094" max="3094" width="12.5703125" style="1" customWidth="1"/>
    <col min="3095" max="3095" width="9.140625" style="1"/>
    <col min="3096" max="3096" width="11" style="1" customWidth="1"/>
    <col min="3097" max="3097" width="10.85546875" style="1" customWidth="1"/>
    <col min="3098" max="3341" width="9.140625" style="1"/>
    <col min="3342" max="3342" width="11.28515625" style="1" customWidth="1"/>
    <col min="3343" max="3343" width="13.28515625" style="1" customWidth="1"/>
    <col min="3344" max="3344" width="10.7109375" style="1" customWidth="1"/>
    <col min="3345" max="3345" width="9.5703125" style="1" customWidth="1"/>
    <col min="3346" max="3347" width="9.140625" style="1"/>
    <col min="3348" max="3348" width="12.7109375" style="1" customWidth="1"/>
    <col min="3349" max="3349" width="10.7109375" style="1" customWidth="1"/>
    <col min="3350" max="3350" width="12.5703125" style="1" customWidth="1"/>
    <col min="3351" max="3351" width="9.140625" style="1"/>
    <col min="3352" max="3352" width="11" style="1" customWidth="1"/>
    <col min="3353" max="3353" width="10.85546875" style="1" customWidth="1"/>
    <col min="3354" max="3597" width="9.140625" style="1"/>
    <col min="3598" max="3598" width="11.28515625" style="1" customWidth="1"/>
    <col min="3599" max="3599" width="13.28515625" style="1" customWidth="1"/>
    <col min="3600" max="3600" width="10.7109375" style="1" customWidth="1"/>
    <col min="3601" max="3601" width="9.5703125" style="1" customWidth="1"/>
    <col min="3602" max="3603" width="9.140625" style="1"/>
    <col min="3604" max="3604" width="12.7109375" style="1" customWidth="1"/>
    <col min="3605" max="3605" width="10.7109375" style="1" customWidth="1"/>
    <col min="3606" max="3606" width="12.5703125" style="1" customWidth="1"/>
    <col min="3607" max="3607" width="9.140625" style="1"/>
    <col min="3608" max="3608" width="11" style="1" customWidth="1"/>
    <col min="3609" max="3609" width="10.85546875" style="1" customWidth="1"/>
    <col min="3610" max="3853" width="9.140625" style="1"/>
    <col min="3854" max="3854" width="11.28515625" style="1" customWidth="1"/>
    <col min="3855" max="3855" width="13.28515625" style="1" customWidth="1"/>
    <col min="3856" max="3856" width="10.7109375" style="1" customWidth="1"/>
    <col min="3857" max="3857" width="9.5703125" style="1" customWidth="1"/>
    <col min="3858" max="3859" width="9.140625" style="1"/>
    <col min="3860" max="3860" width="12.7109375" style="1" customWidth="1"/>
    <col min="3861" max="3861" width="10.7109375" style="1" customWidth="1"/>
    <col min="3862" max="3862" width="12.5703125" style="1" customWidth="1"/>
    <col min="3863" max="3863" width="9.140625" style="1"/>
    <col min="3864" max="3864" width="11" style="1" customWidth="1"/>
    <col min="3865" max="3865" width="10.85546875" style="1" customWidth="1"/>
    <col min="3866" max="4109" width="9.140625" style="1"/>
    <col min="4110" max="4110" width="11.28515625" style="1" customWidth="1"/>
    <col min="4111" max="4111" width="13.28515625" style="1" customWidth="1"/>
    <col min="4112" max="4112" width="10.7109375" style="1" customWidth="1"/>
    <col min="4113" max="4113" width="9.5703125" style="1" customWidth="1"/>
    <col min="4114" max="4115" width="9.140625" style="1"/>
    <col min="4116" max="4116" width="12.7109375" style="1" customWidth="1"/>
    <col min="4117" max="4117" width="10.7109375" style="1" customWidth="1"/>
    <col min="4118" max="4118" width="12.5703125" style="1" customWidth="1"/>
    <col min="4119" max="4119" width="9.140625" style="1"/>
    <col min="4120" max="4120" width="11" style="1" customWidth="1"/>
    <col min="4121" max="4121" width="10.85546875" style="1" customWidth="1"/>
    <col min="4122" max="4365" width="9.140625" style="1"/>
    <col min="4366" max="4366" width="11.28515625" style="1" customWidth="1"/>
    <col min="4367" max="4367" width="13.28515625" style="1" customWidth="1"/>
    <col min="4368" max="4368" width="10.7109375" style="1" customWidth="1"/>
    <col min="4369" max="4369" width="9.5703125" style="1" customWidth="1"/>
    <col min="4370" max="4371" width="9.140625" style="1"/>
    <col min="4372" max="4372" width="12.7109375" style="1" customWidth="1"/>
    <col min="4373" max="4373" width="10.7109375" style="1" customWidth="1"/>
    <col min="4374" max="4374" width="12.5703125" style="1" customWidth="1"/>
    <col min="4375" max="4375" width="9.140625" style="1"/>
    <col min="4376" max="4376" width="11" style="1" customWidth="1"/>
    <col min="4377" max="4377" width="10.85546875" style="1" customWidth="1"/>
    <col min="4378" max="4621" width="9.140625" style="1"/>
    <col min="4622" max="4622" width="11.28515625" style="1" customWidth="1"/>
    <col min="4623" max="4623" width="13.28515625" style="1" customWidth="1"/>
    <col min="4624" max="4624" width="10.7109375" style="1" customWidth="1"/>
    <col min="4625" max="4625" width="9.5703125" style="1" customWidth="1"/>
    <col min="4626" max="4627" width="9.140625" style="1"/>
    <col min="4628" max="4628" width="12.7109375" style="1" customWidth="1"/>
    <col min="4629" max="4629" width="10.7109375" style="1" customWidth="1"/>
    <col min="4630" max="4630" width="12.5703125" style="1" customWidth="1"/>
    <col min="4631" max="4631" width="9.140625" style="1"/>
    <col min="4632" max="4632" width="11" style="1" customWidth="1"/>
    <col min="4633" max="4633" width="10.85546875" style="1" customWidth="1"/>
    <col min="4634" max="4877" width="9.140625" style="1"/>
    <col min="4878" max="4878" width="11.28515625" style="1" customWidth="1"/>
    <col min="4879" max="4879" width="13.28515625" style="1" customWidth="1"/>
    <col min="4880" max="4880" width="10.7109375" style="1" customWidth="1"/>
    <col min="4881" max="4881" width="9.5703125" style="1" customWidth="1"/>
    <col min="4882" max="4883" width="9.140625" style="1"/>
    <col min="4884" max="4884" width="12.7109375" style="1" customWidth="1"/>
    <col min="4885" max="4885" width="10.7109375" style="1" customWidth="1"/>
    <col min="4886" max="4886" width="12.5703125" style="1" customWidth="1"/>
    <col min="4887" max="4887" width="9.140625" style="1"/>
    <col min="4888" max="4888" width="11" style="1" customWidth="1"/>
    <col min="4889" max="4889" width="10.85546875" style="1" customWidth="1"/>
    <col min="4890" max="5133" width="9.140625" style="1"/>
    <col min="5134" max="5134" width="11.28515625" style="1" customWidth="1"/>
    <col min="5135" max="5135" width="13.28515625" style="1" customWidth="1"/>
    <col min="5136" max="5136" width="10.7109375" style="1" customWidth="1"/>
    <col min="5137" max="5137" width="9.5703125" style="1" customWidth="1"/>
    <col min="5138" max="5139" width="9.140625" style="1"/>
    <col min="5140" max="5140" width="12.7109375" style="1" customWidth="1"/>
    <col min="5141" max="5141" width="10.7109375" style="1" customWidth="1"/>
    <col min="5142" max="5142" width="12.5703125" style="1" customWidth="1"/>
    <col min="5143" max="5143" width="9.140625" style="1"/>
    <col min="5144" max="5144" width="11" style="1" customWidth="1"/>
    <col min="5145" max="5145" width="10.85546875" style="1" customWidth="1"/>
    <col min="5146" max="5389" width="9.140625" style="1"/>
    <col min="5390" max="5390" width="11.28515625" style="1" customWidth="1"/>
    <col min="5391" max="5391" width="13.28515625" style="1" customWidth="1"/>
    <col min="5392" max="5392" width="10.7109375" style="1" customWidth="1"/>
    <col min="5393" max="5393" width="9.5703125" style="1" customWidth="1"/>
    <col min="5394" max="5395" width="9.140625" style="1"/>
    <col min="5396" max="5396" width="12.7109375" style="1" customWidth="1"/>
    <col min="5397" max="5397" width="10.7109375" style="1" customWidth="1"/>
    <col min="5398" max="5398" width="12.5703125" style="1" customWidth="1"/>
    <col min="5399" max="5399" width="9.140625" style="1"/>
    <col min="5400" max="5400" width="11" style="1" customWidth="1"/>
    <col min="5401" max="5401" width="10.85546875" style="1" customWidth="1"/>
    <col min="5402" max="5645" width="9.140625" style="1"/>
    <col min="5646" max="5646" width="11.28515625" style="1" customWidth="1"/>
    <col min="5647" max="5647" width="13.28515625" style="1" customWidth="1"/>
    <col min="5648" max="5648" width="10.7109375" style="1" customWidth="1"/>
    <col min="5649" max="5649" width="9.5703125" style="1" customWidth="1"/>
    <col min="5650" max="5651" width="9.140625" style="1"/>
    <col min="5652" max="5652" width="12.7109375" style="1" customWidth="1"/>
    <col min="5653" max="5653" width="10.7109375" style="1" customWidth="1"/>
    <col min="5654" max="5654" width="12.5703125" style="1" customWidth="1"/>
    <col min="5655" max="5655" width="9.140625" style="1"/>
    <col min="5656" max="5656" width="11" style="1" customWidth="1"/>
    <col min="5657" max="5657" width="10.85546875" style="1" customWidth="1"/>
    <col min="5658" max="5901" width="9.140625" style="1"/>
    <col min="5902" max="5902" width="11.28515625" style="1" customWidth="1"/>
    <col min="5903" max="5903" width="13.28515625" style="1" customWidth="1"/>
    <col min="5904" max="5904" width="10.7109375" style="1" customWidth="1"/>
    <col min="5905" max="5905" width="9.5703125" style="1" customWidth="1"/>
    <col min="5906" max="5907" width="9.140625" style="1"/>
    <col min="5908" max="5908" width="12.7109375" style="1" customWidth="1"/>
    <col min="5909" max="5909" width="10.7109375" style="1" customWidth="1"/>
    <col min="5910" max="5910" width="12.5703125" style="1" customWidth="1"/>
    <col min="5911" max="5911" width="9.140625" style="1"/>
    <col min="5912" max="5912" width="11" style="1" customWidth="1"/>
    <col min="5913" max="5913" width="10.85546875" style="1" customWidth="1"/>
    <col min="5914" max="6157" width="9.140625" style="1"/>
    <col min="6158" max="6158" width="11.28515625" style="1" customWidth="1"/>
    <col min="6159" max="6159" width="13.28515625" style="1" customWidth="1"/>
    <col min="6160" max="6160" width="10.7109375" style="1" customWidth="1"/>
    <col min="6161" max="6161" width="9.5703125" style="1" customWidth="1"/>
    <col min="6162" max="6163" width="9.140625" style="1"/>
    <col min="6164" max="6164" width="12.7109375" style="1" customWidth="1"/>
    <col min="6165" max="6165" width="10.7109375" style="1" customWidth="1"/>
    <col min="6166" max="6166" width="12.5703125" style="1" customWidth="1"/>
    <col min="6167" max="6167" width="9.140625" style="1"/>
    <col min="6168" max="6168" width="11" style="1" customWidth="1"/>
    <col min="6169" max="6169" width="10.85546875" style="1" customWidth="1"/>
    <col min="6170" max="6413" width="9.140625" style="1"/>
    <col min="6414" max="6414" width="11.28515625" style="1" customWidth="1"/>
    <col min="6415" max="6415" width="13.28515625" style="1" customWidth="1"/>
    <col min="6416" max="6416" width="10.7109375" style="1" customWidth="1"/>
    <col min="6417" max="6417" width="9.5703125" style="1" customWidth="1"/>
    <col min="6418" max="6419" width="9.140625" style="1"/>
    <col min="6420" max="6420" width="12.7109375" style="1" customWidth="1"/>
    <col min="6421" max="6421" width="10.7109375" style="1" customWidth="1"/>
    <col min="6422" max="6422" width="12.5703125" style="1" customWidth="1"/>
    <col min="6423" max="6423" width="9.140625" style="1"/>
    <col min="6424" max="6424" width="11" style="1" customWidth="1"/>
    <col min="6425" max="6425" width="10.85546875" style="1" customWidth="1"/>
    <col min="6426" max="6669" width="9.140625" style="1"/>
    <col min="6670" max="6670" width="11.28515625" style="1" customWidth="1"/>
    <col min="6671" max="6671" width="13.28515625" style="1" customWidth="1"/>
    <col min="6672" max="6672" width="10.7109375" style="1" customWidth="1"/>
    <col min="6673" max="6673" width="9.5703125" style="1" customWidth="1"/>
    <col min="6674" max="6675" width="9.140625" style="1"/>
    <col min="6676" max="6676" width="12.7109375" style="1" customWidth="1"/>
    <col min="6677" max="6677" width="10.7109375" style="1" customWidth="1"/>
    <col min="6678" max="6678" width="12.5703125" style="1" customWidth="1"/>
    <col min="6679" max="6679" width="9.140625" style="1"/>
    <col min="6680" max="6680" width="11" style="1" customWidth="1"/>
    <col min="6681" max="6681" width="10.85546875" style="1" customWidth="1"/>
    <col min="6682" max="6925" width="9.140625" style="1"/>
    <col min="6926" max="6926" width="11.28515625" style="1" customWidth="1"/>
    <col min="6927" max="6927" width="13.28515625" style="1" customWidth="1"/>
    <col min="6928" max="6928" width="10.7109375" style="1" customWidth="1"/>
    <col min="6929" max="6929" width="9.5703125" style="1" customWidth="1"/>
    <col min="6930" max="6931" width="9.140625" style="1"/>
    <col min="6932" max="6932" width="12.7109375" style="1" customWidth="1"/>
    <col min="6933" max="6933" width="10.7109375" style="1" customWidth="1"/>
    <col min="6934" max="6934" width="12.5703125" style="1" customWidth="1"/>
    <col min="6935" max="6935" width="9.140625" style="1"/>
    <col min="6936" max="6936" width="11" style="1" customWidth="1"/>
    <col min="6937" max="6937" width="10.85546875" style="1" customWidth="1"/>
    <col min="6938" max="7181" width="9.140625" style="1"/>
    <col min="7182" max="7182" width="11.28515625" style="1" customWidth="1"/>
    <col min="7183" max="7183" width="13.28515625" style="1" customWidth="1"/>
    <col min="7184" max="7184" width="10.7109375" style="1" customWidth="1"/>
    <col min="7185" max="7185" width="9.5703125" style="1" customWidth="1"/>
    <col min="7186" max="7187" width="9.140625" style="1"/>
    <col min="7188" max="7188" width="12.7109375" style="1" customWidth="1"/>
    <col min="7189" max="7189" width="10.7109375" style="1" customWidth="1"/>
    <col min="7190" max="7190" width="12.5703125" style="1" customWidth="1"/>
    <col min="7191" max="7191" width="9.140625" style="1"/>
    <col min="7192" max="7192" width="11" style="1" customWidth="1"/>
    <col min="7193" max="7193" width="10.85546875" style="1" customWidth="1"/>
    <col min="7194" max="7437" width="9.140625" style="1"/>
    <col min="7438" max="7438" width="11.28515625" style="1" customWidth="1"/>
    <col min="7439" max="7439" width="13.28515625" style="1" customWidth="1"/>
    <col min="7440" max="7440" width="10.7109375" style="1" customWidth="1"/>
    <col min="7441" max="7441" width="9.5703125" style="1" customWidth="1"/>
    <col min="7442" max="7443" width="9.140625" style="1"/>
    <col min="7444" max="7444" width="12.7109375" style="1" customWidth="1"/>
    <col min="7445" max="7445" width="10.7109375" style="1" customWidth="1"/>
    <col min="7446" max="7446" width="12.5703125" style="1" customWidth="1"/>
    <col min="7447" max="7447" width="9.140625" style="1"/>
    <col min="7448" max="7448" width="11" style="1" customWidth="1"/>
    <col min="7449" max="7449" width="10.85546875" style="1" customWidth="1"/>
    <col min="7450" max="7693" width="9.140625" style="1"/>
    <col min="7694" max="7694" width="11.28515625" style="1" customWidth="1"/>
    <col min="7695" max="7695" width="13.28515625" style="1" customWidth="1"/>
    <col min="7696" max="7696" width="10.7109375" style="1" customWidth="1"/>
    <col min="7697" max="7697" width="9.5703125" style="1" customWidth="1"/>
    <col min="7698" max="7699" width="9.140625" style="1"/>
    <col min="7700" max="7700" width="12.7109375" style="1" customWidth="1"/>
    <col min="7701" max="7701" width="10.7109375" style="1" customWidth="1"/>
    <col min="7702" max="7702" width="12.5703125" style="1" customWidth="1"/>
    <col min="7703" max="7703" width="9.140625" style="1"/>
    <col min="7704" max="7704" width="11" style="1" customWidth="1"/>
    <col min="7705" max="7705" width="10.85546875" style="1" customWidth="1"/>
    <col min="7706" max="7949" width="9.140625" style="1"/>
    <col min="7950" max="7950" width="11.28515625" style="1" customWidth="1"/>
    <col min="7951" max="7951" width="13.28515625" style="1" customWidth="1"/>
    <col min="7952" max="7952" width="10.7109375" style="1" customWidth="1"/>
    <col min="7953" max="7953" width="9.5703125" style="1" customWidth="1"/>
    <col min="7954" max="7955" width="9.140625" style="1"/>
    <col min="7956" max="7956" width="12.7109375" style="1" customWidth="1"/>
    <col min="7957" max="7957" width="10.7109375" style="1" customWidth="1"/>
    <col min="7958" max="7958" width="12.5703125" style="1" customWidth="1"/>
    <col min="7959" max="7959" width="9.140625" style="1"/>
    <col min="7960" max="7960" width="11" style="1" customWidth="1"/>
    <col min="7961" max="7961" width="10.85546875" style="1" customWidth="1"/>
    <col min="7962" max="8205" width="9.140625" style="1"/>
    <col min="8206" max="8206" width="11.28515625" style="1" customWidth="1"/>
    <col min="8207" max="8207" width="13.28515625" style="1" customWidth="1"/>
    <col min="8208" max="8208" width="10.7109375" style="1" customWidth="1"/>
    <col min="8209" max="8209" width="9.5703125" style="1" customWidth="1"/>
    <col min="8210" max="8211" width="9.140625" style="1"/>
    <col min="8212" max="8212" width="12.7109375" style="1" customWidth="1"/>
    <col min="8213" max="8213" width="10.7109375" style="1" customWidth="1"/>
    <col min="8214" max="8214" width="12.5703125" style="1" customWidth="1"/>
    <col min="8215" max="8215" width="9.140625" style="1"/>
    <col min="8216" max="8216" width="11" style="1" customWidth="1"/>
    <col min="8217" max="8217" width="10.85546875" style="1" customWidth="1"/>
    <col min="8218" max="8461" width="9.140625" style="1"/>
    <col min="8462" max="8462" width="11.28515625" style="1" customWidth="1"/>
    <col min="8463" max="8463" width="13.28515625" style="1" customWidth="1"/>
    <col min="8464" max="8464" width="10.7109375" style="1" customWidth="1"/>
    <col min="8465" max="8465" width="9.5703125" style="1" customWidth="1"/>
    <col min="8466" max="8467" width="9.140625" style="1"/>
    <col min="8468" max="8468" width="12.7109375" style="1" customWidth="1"/>
    <col min="8469" max="8469" width="10.7109375" style="1" customWidth="1"/>
    <col min="8470" max="8470" width="12.5703125" style="1" customWidth="1"/>
    <col min="8471" max="8471" width="9.140625" style="1"/>
    <col min="8472" max="8472" width="11" style="1" customWidth="1"/>
    <col min="8473" max="8473" width="10.85546875" style="1" customWidth="1"/>
    <col min="8474" max="8717" width="9.140625" style="1"/>
    <col min="8718" max="8718" width="11.28515625" style="1" customWidth="1"/>
    <col min="8719" max="8719" width="13.28515625" style="1" customWidth="1"/>
    <col min="8720" max="8720" width="10.7109375" style="1" customWidth="1"/>
    <col min="8721" max="8721" width="9.5703125" style="1" customWidth="1"/>
    <col min="8722" max="8723" width="9.140625" style="1"/>
    <col min="8724" max="8724" width="12.7109375" style="1" customWidth="1"/>
    <col min="8725" max="8725" width="10.7109375" style="1" customWidth="1"/>
    <col min="8726" max="8726" width="12.5703125" style="1" customWidth="1"/>
    <col min="8727" max="8727" width="9.140625" style="1"/>
    <col min="8728" max="8728" width="11" style="1" customWidth="1"/>
    <col min="8729" max="8729" width="10.85546875" style="1" customWidth="1"/>
    <col min="8730" max="8973" width="9.140625" style="1"/>
    <col min="8974" max="8974" width="11.28515625" style="1" customWidth="1"/>
    <col min="8975" max="8975" width="13.28515625" style="1" customWidth="1"/>
    <col min="8976" max="8976" width="10.7109375" style="1" customWidth="1"/>
    <col min="8977" max="8977" width="9.5703125" style="1" customWidth="1"/>
    <col min="8978" max="8979" width="9.140625" style="1"/>
    <col min="8980" max="8980" width="12.7109375" style="1" customWidth="1"/>
    <col min="8981" max="8981" width="10.7109375" style="1" customWidth="1"/>
    <col min="8982" max="8982" width="12.5703125" style="1" customWidth="1"/>
    <col min="8983" max="8983" width="9.140625" style="1"/>
    <col min="8984" max="8984" width="11" style="1" customWidth="1"/>
    <col min="8985" max="8985" width="10.85546875" style="1" customWidth="1"/>
    <col min="8986" max="9229" width="9.140625" style="1"/>
    <col min="9230" max="9230" width="11.28515625" style="1" customWidth="1"/>
    <col min="9231" max="9231" width="13.28515625" style="1" customWidth="1"/>
    <col min="9232" max="9232" width="10.7109375" style="1" customWidth="1"/>
    <col min="9233" max="9233" width="9.5703125" style="1" customWidth="1"/>
    <col min="9234" max="9235" width="9.140625" style="1"/>
    <col min="9236" max="9236" width="12.7109375" style="1" customWidth="1"/>
    <col min="9237" max="9237" width="10.7109375" style="1" customWidth="1"/>
    <col min="9238" max="9238" width="12.5703125" style="1" customWidth="1"/>
    <col min="9239" max="9239" width="9.140625" style="1"/>
    <col min="9240" max="9240" width="11" style="1" customWidth="1"/>
    <col min="9241" max="9241" width="10.85546875" style="1" customWidth="1"/>
    <col min="9242" max="9485" width="9.140625" style="1"/>
    <col min="9486" max="9486" width="11.28515625" style="1" customWidth="1"/>
    <col min="9487" max="9487" width="13.28515625" style="1" customWidth="1"/>
    <col min="9488" max="9488" width="10.7109375" style="1" customWidth="1"/>
    <col min="9489" max="9489" width="9.5703125" style="1" customWidth="1"/>
    <col min="9490" max="9491" width="9.140625" style="1"/>
    <col min="9492" max="9492" width="12.7109375" style="1" customWidth="1"/>
    <col min="9493" max="9493" width="10.7109375" style="1" customWidth="1"/>
    <col min="9494" max="9494" width="12.5703125" style="1" customWidth="1"/>
    <col min="9495" max="9495" width="9.140625" style="1"/>
    <col min="9496" max="9496" width="11" style="1" customWidth="1"/>
    <col min="9497" max="9497" width="10.85546875" style="1" customWidth="1"/>
    <col min="9498" max="9741" width="9.140625" style="1"/>
    <col min="9742" max="9742" width="11.28515625" style="1" customWidth="1"/>
    <col min="9743" max="9743" width="13.28515625" style="1" customWidth="1"/>
    <col min="9744" max="9744" width="10.7109375" style="1" customWidth="1"/>
    <col min="9745" max="9745" width="9.5703125" style="1" customWidth="1"/>
    <col min="9746" max="9747" width="9.140625" style="1"/>
    <col min="9748" max="9748" width="12.7109375" style="1" customWidth="1"/>
    <col min="9749" max="9749" width="10.7109375" style="1" customWidth="1"/>
    <col min="9750" max="9750" width="12.5703125" style="1" customWidth="1"/>
    <col min="9751" max="9751" width="9.140625" style="1"/>
    <col min="9752" max="9752" width="11" style="1" customWidth="1"/>
    <col min="9753" max="9753" width="10.85546875" style="1" customWidth="1"/>
    <col min="9754" max="9997" width="9.140625" style="1"/>
    <col min="9998" max="9998" width="11.28515625" style="1" customWidth="1"/>
    <col min="9999" max="9999" width="13.28515625" style="1" customWidth="1"/>
    <col min="10000" max="10000" width="10.7109375" style="1" customWidth="1"/>
    <col min="10001" max="10001" width="9.5703125" style="1" customWidth="1"/>
    <col min="10002" max="10003" width="9.140625" style="1"/>
    <col min="10004" max="10004" width="12.7109375" style="1" customWidth="1"/>
    <col min="10005" max="10005" width="10.7109375" style="1" customWidth="1"/>
    <col min="10006" max="10006" width="12.5703125" style="1" customWidth="1"/>
    <col min="10007" max="10007" width="9.140625" style="1"/>
    <col min="10008" max="10008" width="11" style="1" customWidth="1"/>
    <col min="10009" max="10009" width="10.85546875" style="1" customWidth="1"/>
    <col min="10010" max="10253" width="9.140625" style="1"/>
    <col min="10254" max="10254" width="11.28515625" style="1" customWidth="1"/>
    <col min="10255" max="10255" width="13.28515625" style="1" customWidth="1"/>
    <col min="10256" max="10256" width="10.7109375" style="1" customWidth="1"/>
    <col min="10257" max="10257" width="9.5703125" style="1" customWidth="1"/>
    <col min="10258" max="10259" width="9.140625" style="1"/>
    <col min="10260" max="10260" width="12.7109375" style="1" customWidth="1"/>
    <col min="10261" max="10261" width="10.7109375" style="1" customWidth="1"/>
    <col min="10262" max="10262" width="12.5703125" style="1" customWidth="1"/>
    <col min="10263" max="10263" width="9.140625" style="1"/>
    <col min="10264" max="10264" width="11" style="1" customWidth="1"/>
    <col min="10265" max="10265" width="10.85546875" style="1" customWidth="1"/>
    <col min="10266" max="10509" width="9.140625" style="1"/>
    <col min="10510" max="10510" width="11.28515625" style="1" customWidth="1"/>
    <col min="10511" max="10511" width="13.28515625" style="1" customWidth="1"/>
    <col min="10512" max="10512" width="10.7109375" style="1" customWidth="1"/>
    <col min="10513" max="10513" width="9.5703125" style="1" customWidth="1"/>
    <col min="10514" max="10515" width="9.140625" style="1"/>
    <col min="10516" max="10516" width="12.7109375" style="1" customWidth="1"/>
    <col min="10517" max="10517" width="10.7109375" style="1" customWidth="1"/>
    <col min="10518" max="10518" width="12.5703125" style="1" customWidth="1"/>
    <col min="10519" max="10519" width="9.140625" style="1"/>
    <col min="10520" max="10520" width="11" style="1" customWidth="1"/>
    <col min="10521" max="10521" width="10.85546875" style="1" customWidth="1"/>
    <col min="10522" max="10765" width="9.140625" style="1"/>
    <col min="10766" max="10766" width="11.28515625" style="1" customWidth="1"/>
    <col min="10767" max="10767" width="13.28515625" style="1" customWidth="1"/>
    <col min="10768" max="10768" width="10.7109375" style="1" customWidth="1"/>
    <col min="10769" max="10769" width="9.5703125" style="1" customWidth="1"/>
    <col min="10770" max="10771" width="9.140625" style="1"/>
    <col min="10772" max="10772" width="12.7109375" style="1" customWidth="1"/>
    <col min="10773" max="10773" width="10.7109375" style="1" customWidth="1"/>
    <col min="10774" max="10774" width="12.5703125" style="1" customWidth="1"/>
    <col min="10775" max="10775" width="9.140625" style="1"/>
    <col min="10776" max="10776" width="11" style="1" customWidth="1"/>
    <col min="10777" max="10777" width="10.85546875" style="1" customWidth="1"/>
    <col min="10778" max="11021" width="9.140625" style="1"/>
    <col min="11022" max="11022" width="11.28515625" style="1" customWidth="1"/>
    <col min="11023" max="11023" width="13.28515625" style="1" customWidth="1"/>
    <col min="11024" max="11024" width="10.7109375" style="1" customWidth="1"/>
    <col min="11025" max="11025" width="9.5703125" style="1" customWidth="1"/>
    <col min="11026" max="11027" width="9.140625" style="1"/>
    <col min="11028" max="11028" width="12.7109375" style="1" customWidth="1"/>
    <col min="11029" max="11029" width="10.7109375" style="1" customWidth="1"/>
    <col min="11030" max="11030" width="12.5703125" style="1" customWidth="1"/>
    <col min="11031" max="11031" width="9.140625" style="1"/>
    <col min="11032" max="11032" width="11" style="1" customWidth="1"/>
    <col min="11033" max="11033" width="10.85546875" style="1" customWidth="1"/>
    <col min="11034" max="11277" width="9.140625" style="1"/>
    <col min="11278" max="11278" width="11.28515625" style="1" customWidth="1"/>
    <col min="11279" max="11279" width="13.28515625" style="1" customWidth="1"/>
    <col min="11280" max="11280" width="10.7109375" style="1" customWidth="1"/>
    <col min="11281" max="11281" width="9.5703125" style="1" customWidth="1"/>
    <col min="11282" max="11283" width="9.140625" style="1"/>
    <col min="11284" max="11284" width="12.7109375" style="1" customWidth="1"/>
    <col min="11285" max="11285" width="10.7109375" style="1" customWidth="1"/>
    <col min="11286" max="11286" width="12.5703125" style="1" customWidth="1"/>
    <col min="11287" max="11287" width="9.140625" style="1"/>
    <col min="11288" max="11288" width="11" style="1" customWidth="1"/>
    <col min="11289" max="11289" width="10.85546875" style="1" customWidth="1"/>
    <col min="11290" max="11533" width="9.140625" style="1"/>
    <col min="11534" max="11534" width="11.28515625" style="1" customWidth="1"/>
    <col min="11535" max="11535" width="13.28515625" style="1" customWidth="1"/>
    <col min="11536" max="11536" width="10.7109375" style="1" customWidth="1"/>
    <col min="11537" max="11537" width="9.5703125" style="1" customWidth="1"/>
    <col min="11538" max="11539" width="9.140625" style="1"/>
    <col min="11540" max="11540" width="12.7109375" style="1" customWidth="1"/>
    <col min="11541" max="11541" width="10.7109375" style="1" customWidth="1"/>
    <col min="11542" max="11542" width="12.5703125" style="1" customWidth="1"/>
    <col min="11543" max="11543" width="9.140625" style="1"/>
    <col min="11544" max="11544" width="11" style="1" customWidth="1"/>
    <col min="11545" max="11545" width="10.85546875" style="1" customWidth="1"/>
    <col min="11546" max="11789" width="9.140625" style="1"/>
    <col min="11790" max="11790" width="11.28515625" style="1" customWidth="1"/>
    <col min="11791" max="11791" width="13.28515625" style="1" customWidth="1"/>
    <col min="11792" max="11792" width="10.7109375" style="1" customWidth="1"/>
    <col min="11793" max="11793" width="9.5703125" style="1" customWidth="1"/>
    <col min="11794" max="11795" width="9.140625" style="1"/>
    <col min="11796" max="11796" width="12.7109375" style="1" customWidth="1"/>
    <col min="11797" max="11797" width="10.7109375" style="1" customWidth="1"/>
    <col min="11798" max="11798" width="12.5703125" style="1" customWidth="1"/>
    <col min="11799" max="11799" width="9.140625" style="1"/>
    <col min="11800" max="11800" width="11" style="1" customWidth="1"/>
    <col min="11801" max="11801" width="10.85546875" style="1" customWidth="1"/>
    <col min="11802" max="12045" width="9.140625" style="1"/>
    <col min="12046" max="12046" width="11.28515625" style="1" customWidth="1"/>
    <col min="12047" max="12047" width="13.28515625" style="1" customWidth="1"/>
    <col min="12048" max="12048" width="10.7109375" style="1" customWidth="1"/>
    <col min="12049" max="12049" width="9.5703125" style="1" customWidth="1"/>
    <col min="12050" max="12051" width="9.140625" style="1"/>
    <col min="12052" max="12052" width="12.7109375" style="1" customWidth="1"/>
    <col min="12053" max="12053" width="10.7109375" style="1" customWidth="1"/>
    <col min="12054" max="12054" width="12.5703125" style="1" customWidth="1"/>
    <col min="12055" max="12055" width="9.140625" style="1"/>
    <col min="12056" max="12056" width="11" style="1" customWidth="1"/>
    <col min="12057" max="12057" width="10.85546875" style="1" customWidth="1"/>
    <col min="12058" max="12301" width="9.140625" style="1"/>
    <col min="12302" max="12302" width="11.28515625" style="1" customWidth="1"/>
    <col min="12303" max="12303" width="13.28515625" style="1" customWidth="1"/>
    <col min="12304" max="12304" width="10.7109375" style="1" customWidth="1"/>
    <col min="12305" max="12305" width="9.5703125" style="1" customWidth="1"/>
    <col min="12306" max="12307" width="9.140625" style="1"/>
    <col min="12308" max="12308" width="12.7109375" style="1" customWidth="1"/>
    <col min="12309" max="12309" width="10.7109375" style="1" customWidth="1"/>
    <col min="12310" max="12310" width="12.5703125" style="1" customWidth="1"/>
    <col min="12311" max="12311" width="9.140625" style="1"/>
    <col min="12312" max="12312" width="11" style="1" customWidth="1"/>
    <col min="12313" max="12313" width="10.85546875" style="1" customWidth="1"/>
    <col min="12314" max="12557" width="9.140625" style="1"/>
    <col min="12558" max="12558" width="11.28515625" style="1" customWidth="1"/>
    <col min="12559" max="12559" width="13.28515625" style="1" customWidth="1"/>
    <col min="12560" max="12560" width="10.7109375" style="1" customWidth="1"/>
    <col min="12561" max="12561" width="9.5703125" style="1" customWidth="1"/>
    <col min="12562" max="12563" width="9.140625" style="1"/>
    <col min="12564" max="12564" width="12.7109375" style="1" customWidth="1"/>
    <col min="12565" max="12565" width="10.7109375" style="1" customWidth="1"/>
    <col min="12566" max="12566" width="12.5703125" style="1" customWidth="1"/>
    <col min="12567" max="12567" width="9.140625" style="1"/>
    <col min="12568" max="12568" width="11" style="1" customWidth="1"/>
    <col min="12569" max="12569" width="10.85546875" style="1" customWidth="1"/>
    <col min="12570" max="12813" width="9.140625" style="1"/>
    <col min="12814" max="12814" width="11.28515625" style="1" customWidth="1"/>
    <col min="12815" max="12815" width="13.28515625" style="1" customWidth="1"/>
    <col min="12816" max="12816" width="10.7109375" style="1" customWidth="1"/>
    <col min="12817" max="12817" width="9.5703125" style="1" customWidth="1"/>
    <col min="12818" max="12819" width="9.140625" style="1"/>
    <col min="12820" max="12820" width="12.7109375" style="1" customWidth="1"/>
    <col min="12821" max="12821" width="10.7109375" style="1" customWidth="1"/>
    <col min="12822" max="12822" width="12.5703125" style="1" customWidth="1"/>
    <col min="12823" max="12823" width="9.140625" style="1"/>
    <col min="12824" max="12824" width="11" style="1" customWidth="1"/>
    <col min="12825" max="12825" width="10.85546875" style="1" customWidth="1"/>
    <col min="12826" max="13069" width="9.140625" style="1"/>
    <col min="13070" max="13070" width="11.28515625" style="1" customWidth="1"/>
    <col min="13071" max="13071" width="13.28515625" style="1" customWidth="1"/>
    <col min="13072" max="13072" width="10.7109375" style="1" customWidth="1"/>
    <col min="13073" max="13073" width="9.5703125" style="1" customWidth="1"/>
    <col min="13074" max="13075" width="9.140625" style="1"/>
    <col min="13076" max="13076" width="12.7109375" style="1" customWidth="1"/>
    <col min="13077" max="13077" width="10.7109375" style="1" customWidth="1"/>
    <col min="13078" max="13078" width="12.5703125" style="1" customWidth="1"/>
    <col min="13079" max="13079" width="9.140625" style="1"/>
    <col min="13080" max="13080" width="11" style="1" customWidth="1"/>
    <col min="13081" max="13081" width="10.85546875" style="1" customWidth="1"/>
    <col min="13082" max="13325" width="9.140625" style="1"/>
    <col min="13326" max="13326" width="11.28515625" style="1" customWidth="1"/>
    <col min="13327" max="13327" width="13.28515625" style="1" customWidth="1"/>
    <col min="13328" max="13328" width="10.7109375" style="1" customWidth="1"/>
    <col min="13329" max="13329" width="9.5703125" style="1" customWidth="1"/>
    <col min="13330" max="13331" width="9.140625" style="1"/>
    <col min="13332" max="13332" width="12.7109375" style="1" customWidth="1"/>
    <col min="13333" max="13333" width="10.7109375" style="1" customWidth="1"/>
    <col min="13334" max="13334" width="12.5703125" style="1" customWidth="1"/>
    <col min="13335" max="13335" width="9.140625" style="1"/>
    <col min="13336" max="13336" width="11" style="1" customWidth="1"/>
    <col min="13337" max="13337" width="10.85546875" style="1" customWidth="1"/>
    <col min="13338" max="13581" width="9.140625" style="1"/>
    <col min="13582" max="13582" width="11.28515625" style="1" customWidth="1"/>
    <col min="13583" max="13583" width="13.28515625" style="1" customWidth="1"/>
    <col min="13584" max="13584" width="10.7109375" style="1" customWidth="1"/>
    <col min="13585" max="13585" width="9.5703125" style="1" customWidth="1"/>
    <col min="13586" max="13587" width="9.140625" style="1"/>
    <col min="13588" max="13588" width="12.7109375" style="1" customWidth="1"/>
    <col min="13589" max="13589" width="10.7109375" style="1" customWidth="1"/>
    <col min="13590" max="13590" width="12.5703125" style="1" customWidth="1"/>
    <col min="13591" max="13591" width="9.140625" style="1"/>
    <col min="13592" max="13592" width="11" style="1" customWidth="1"/>
    <col min="13593" max="13593" width="10.85546875" style="1" customWidth="1"/>
    <col min="13594" max="13837" width="9.140625" style="1"/>
    <col min="13838" max="13838" width="11.28515625" style="1" customWidth="1"/>
    <col min="13839" max="13839" width="13.28515625" style="1" customWidth="1"/>
    <col min="13840" max="13840" width="10.7109375" style="1" customWidth="1"/>
    <col min="13841" max="13841" width="9.5703125" style="1" customWidth="1"/>
    <col min="13842" max="13843" width="9.140625" style="1"/>
    <col min="13844" max="13844" width="12.7109375" style="1" customWidth="1"/>
    <col min="13845" max="13845" width="10.7109375" style="1" customWidth="1"/>
    <col min="13846" max="13846" width="12.5703125" style="1" customWidth="1"/>
    <col min="13847" max="13847" width="9.140625" style="1"/>
    <col min="13848" max="13848" width="11" style="1" customWidth="1"/>
    <col min="13849" max="13849" width="10.85546875" style="1" customWidth="1"/>
    <col min="13850" max="14093" width="9.140625" style="1"/>
    <col min="14094" max="14094" width="11.28515625" style="1" customWidth="1"/>
    <col min="14095" max="14095" width="13.28515625" style="1" customWidth="1"/>
    <col min="14096" max="14096" width="10.7109375" style="1" customWidth="1"/>
    <col min="14097" max="14097" width="9.5703125" style="1" customWidth="1"/>
    <col min="14098" max="14099" width="9.140625" style="1"/>
    <col min="14100" max="14100" width="12.7109375" style="1" customWidth="1"/>
    <col min="14101" max="14101" width="10.7109375" style="1" customWidth="1"/>
    <col min="14102" max="14102" width="12.5703125" style="1" customWidth="1"/>
    <col min="14103" max="14103" width="9.140625" style="1"/>
    <col min="14104" max="14104" width="11" style="1" customWidth="1"/>
    <col min="14105" max="14105" width="10.85546875" style="1" customWidth="1"/>
    <col min="14106" max="14349" width="9.140625" style="1"/>
    <col min="14350" max="14350" width="11.28515625" style="1" customWidth="1"/>
    <col min="14351" max="14351" width="13.28515625" style="1" customWidth="1"/>
    <col min="14352" max="14352" width="10.7109375" style="1" customWidth="1"/>
    <col min="14353" max="14353" width="9.5703125" style="1" customWidth="1"/>
    <col min="14354" max="14355" width="9.140625" style="1"/>
    <col min="14356" max="14356" width="12.7109375" style="1" customWidth="1"/>
    <col min="14357" max="14357" width="10.7109375" style="1" customWidth="1"/>
    <col min="14358" max="14358" width="12.5703125" style="1" customWidth="1"/>
    <col min="14359" max="14359" width="9.140625" style="1"/>
    <col min="14360" max="14360" width="11" style="1" customWidth="1"/>
    <col min="14361" max="14361" width="10.85546875" style="1" customWidth="1"/>
    <col min="14362" max="14605" width="9.140625" style="1"/>
    <col min="14606" max="14606" width="11.28515625" style="1" customWidth="1"/>
    <col min="14607" max="14607" width="13.28515625" style="1" customWidth="1"/>
    <col min="14608" max="14608" width="10.7109375" style="1" customWidth="1"/>
    <col min="14609" max="14609" width="9.5703125" style="1" customWidth="1"/>
    <col min="14610" max="14611" width="9.140625" style="1"/>
    <col min="14612" max="14612" width="12.7109375" style="1" customWidth="1"/>
    <col min="14613" max="14613" width="10.7109375" style="1" customWidth="1"/>
    <col min="14614" max="14614" width="12.5703125" style="1" customWidth="1"/>
    <col min="14615" max="14615" width="9.140625" style="1"/>
    <col min="14616" max="14616" width="11" style="1" customWidth="1"/>
    <col min="14617" max="14617" width="10.85546875" style="1" customWidth="1"/>
    <col min="14618" max="14861" width="9.140625" style="1"/>
    <col min="14862" max="14862" width="11.28515625" style="1" customWidth="1"/>
    <col min="14863" max="14863" width="13.28515625" style="1" customWidth="1"/>
    <col min="14864" max="14864" width="10.7109375" style="1" customWidth="1"/>
    <col min="14865" max="14865" width="9.5703125" style="1" customWidth="1"/>
    <col min="14866" max="14867" width="9.140625" style="1"/>
    <col min="14868" max="14868" width="12.7109375" style="1" customWidth="1"/>
    <col min="14869" max="14869" width="10.7109375" style="1" customWidth="1"/>
    <col min="14870" max="14870" width="12.5703125" style="1" customWidth="1"/>
    <col min="14871" max="14871" width="9.140625" style="1"/>
    <col min="14872" max="14872" width="11" style="1" customWidth="1"/>
    <col min="14873" max="14873" width="10.85546875" style="1" customWidth="1"/>
    <col min="14874" max="15117" width="9.140625" style="1"/>
    <col min="15118" max="15118" width="11.28515625" style="1" customWidth="1"/>
    <col min="15119" max="15119" width="13.28515625" style="1" customWidth="1"/>
    <col min="15120" max="15120" width="10.7109375" style="1" customWidth="1"/>
    <col min="15121" max="15121" width="9.5703125" style="1" customWidth="1"/>
    <col min="15122" max="15123" width="9.140625" style="1"/>
    <col min="15124" max="15124" width="12.7109375" style="1" customWidth="1"/>
    <col min="15125" max="15125" width="10.7109375" style="1" customWidth="1"/>
    <col min="15126" max="15126" width="12.5703125" style="1" customWidth="1"/>
    <col min="15127" max="15127" width="9.140625" style="1"/>
    <col min="15128" max="15128" width="11" style="1" customWidth="1"/>
    <col min="15129" max="15129" width="10.85546875" style="1" customWidth="1"/>
    <col min="15130" max="15373" width="9.140625" style="1"/>
    <col min="15374" max="15374" width="11.28515625" style="1" customWidth="1"/>
    <col min="15375" max="15375" width="13.28515625" style="1" customWidth="1"/>
    <col min="15376" max="15376" width="10.7109375" style="1" customWidth="1"/>
    <col min="15377" max="15377" width="9.5703125" style="1" customWidth="1"/>
    <col min="15378" max="15379" width="9.140625" style="1"/>
    <col min="15380" max="15380" width="12.7109375" style="1" customWidth="1"/>
    <col min="15381" max="15381" width="10.7109375" style="1" customWidth="1"/>
    <col min="15382" max="15382" width="12.5703125" style="1" customWidth="1"/>
    <col min="15383" max="15383" width="9.140625" style="1"/>
    <col min="15384" max="15384" width="11" style="1" customWidth="1"/>
    <col min="15385" max="15385" width="10.85546875" style="1" customWidth="1"/>
    <col min="15386" max="15629" width="9.140625" style="1"/>
    <col min="15630" max="15630" width="11.28515625" style="1" customWidth="1"/>
    <col min="15631" max="15631" width="13.28515625" style="1" customWidth="1"/>
    <col min="15632" max="15632" width="10.7109375" style="1" customWidth="1"/>
    <col min="15633" max="15633" width="9.5703125" style="1" customWidth="1"/>
    <col min="15634" max="15635" width="9.140625" style="1"/>
    <col min="15636" max="15636" width="12.7109375" style="1" customWidth="1"/>
    <col min="15637" max="15637" width="10.7109375" style="1" customWidth="1"/>
    <col min="15638" max="15638" width="12.5703125" style="1" customWidth="1"/>
    <col min="15639" max="15639" width="9.140625" style="1"/>
    <col min="15640" max="15640" width="11" style="1" customWidth="1"/>
    <col min="15641" max="15641" width="10.85546875" style="1" customWidth="1"/>
    <col min="15642" max="15885" width="9.140625" style="1"/>
    <col min="15886" max="15886" width="11.28515625" style="1" customWidth="1"/>
    <col min="15887" max="15887" width="13.28515625" style="1" customWidth="1"/>
    <col min="15888" max="15888" width="10.7109375" style="1" customWidth="1"/>
    <col min="15889" max="15889" width="9.5703125" style="1" customWidth="1"/>
    <col min="15890" max="15891" width="9.140625" style="1"/>
    <col min="15892" max="15892" width="12.7109375" style="1" customWidth="1"/>
    <col min="15893" max="15893" width="10.7109375" style="1" customWidth="1"/>
    <col min="15894" max="15894" width="12.5703125" style="1" customWidth="1"/>
    <col min="15895" max="15895" width="9.140625" style="1"/>
    <col min="15896" max="15896" width="11" style="1" customWidth="1"/>
    <col min="15897" max="15897" width="10.85546875" style="1" customWidth="1"/>
    <col min="15898" max="16141" width="9.140625" style="1"/>
    <col min="16142" max="16142" width="11.28515625" style="1" customWidth="1"/>
    <col min="16143" max="16143" width="13.28515625" style="1" customWidth="1"/>
    <col min="16144" max="16144" width="10.7109375" style="1" customWidth="1"/>
    <col min="16145" max="16145" width="9.5703125" style="1" customWidth="1"/>
    <col min="16146" max="16147" width="9.140625" style="1"/>
    <col min="16148" max="16148" width="12.7109375" style="1" customWidth="1"/>
    <col min="16149" max="16149" width="10.7109375" style="1" customWidth="1"/>
    <col min="16150" max="16150" width="12.5703125" style="1" customWidth="1"/>
    <col min="16151" max="16151" width="9.140625" style="1"/>
    <col min="16152" max="16152" width="11" style="1" customWidth="1"/>
    <col min="16153" max="16153" width="10.85546875" style="1" customWidth="1"/>
    <col min="16154" max="16384" width="9.140625" style="1"/>
  </cols>
  <sheetData>
    <row r="1" spans="1:34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4" ht="15.75" x14ac:dyDescent="0.25">
      <c r="H2" s="2"/>
      <c r="I2" s="22" t="s">
        <v>247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6"/>
    </row>
    <row r="5" spans="1:34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x14ac:dyDescent="0.25">
      <c r="B6" s="4"/>
      <c r="C6" s="56"/>
      <c r="D6" s="56"/>
      <c r="E6" s="44"/>
      <c r="F6" s="44"/>
      <c r="G6" s="44"/>
      <c r="H6" s="44"/>
      <c r="I6" s="60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"/>
    </row>
    <row r="7" spans="1:34" x14ac:dyDescent="0.25">
      <c r="B7" s="4"/>
      <c r="C7" s="56"/>
      <c r="D7" s="56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"/>
    </row>
    <row r="8" spans="1:34" ht="20.25" x14ac:dyDescent="0.25">
      <c r="C8" s="181" t="s">
        <v>138</v>
      </c>
      <c r="D8" s="181"/>
      <c r="E8" s="181"/>
      <c r="F8" s="181"/>
      <c r="G8" s="181"/>
      <c r="H8" s="181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"/>
    </row>
    <row r="9" spans="1:34" x14ac:dyDescent="0.25">
      <c r="B9" s="4"/>
      <c r="C9" s="56"/>
      <c r="D9" s="56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"/>
    </row>
    <row r="10" spans="1:34" ht="20.25" x14ac:dyDescent="0.25">
      <c r="B10" s="4"/>
      <c r="C10" s="182" t="s">
        <v>0</v>
      </c>
      <c r="D10" s="182"/>
      <c r="E10" s="45"/>
      <c r="F10" s="45"/>
      <c r="G10" s="4"/>
      <c r="H10" s="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"/>
    </row>
    <row r="11" spans="1:34" x14ac:dyDescent="0.25">
      <c r="B11" s="4"/>
      <c r="C11" s="56"/>
      <c r="D11" s="56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"/>
    </row>
    <row r="12" spans="1:34" ht="113.1" customHeight="1" x14ac:dyDescent="0.25">
      <c r="B12" s="173" t="s">
        <v>1</v>
      </c>
      <c r="C12" s="175" t="s">
        <v>56</v>
      </c>
      <c r="D12" s="167" t="s">
        <v>3</v>
      </c>
      <c r="E12" s="167" t="s">
        <v>4</v>
      </c>
      <c r="F12" s="167" t="s">
        <v>5</v>
      </c>
      <c r="G12" s="167" t="s">
        <v>6</v>
      </c>
      <c r="H12" s="167" t="s">
        <v>7</v>
      </c>
      <c r="I12" s="167" t="s">
        <v>8</v>
      </c>
      <c r="J12" s="167" t="s">
        <v>9</v>
      </c>
      <c r="K12" s="167" t="s">
        <v>57</v>
      </c>
      <c r="L12" s="23" t="s">
        <v>10</v>
      </c>
      <c r="M12" s="23" t="s">
        <v>10</v>
      </c>
      <c r="N12" s="23" t="s">
        <v>12</v>
      </c>
      <c r="O12" s="169" t="s">
        <v>13</v>
      </c>
      <c r="P12" s="170"/>
      <c r="Q12" s="171"/>
      <c r="R12" s="167" t="s">
        <v>14</v>
      </c>
      <c r="S12" s="183" t="s">
        <v>58</v>
      </c>
      <c r="T12" s="184"/>
      <c r="U12" s="184"/>
      <c r="V12" s="185"/>
      <c r="W12" s="165" t="s">
        <v>21</v>
      </c>
      <c r="X12" s="167" t="s">
        <v>9</v>
      </c>
      <c r="Y12" s="23" t="s">
        <v>245</v>
      </c>
      <c r="Z12" s="23" t="s">
        <v>246</v>
      </c>
      <c r="AA12" s="23" t="s">
        <v>157</v>
      </c>
      <c r="AB12" s="165" t="s">
        <v>59</v>
      </c>
      <c r="AC12" s="186" t="s">
        <v>18</v>
      </c>
      <c r="AD12" s="187"/>
      <c r="AE12" s="187"/>
      <c r="AF12" s="187"/>
      <c r="AG12" s="163" t="s">
        <v>19</v>
      </c>
      <c r="AH12" s="4"/>
    </row>
    <row r="13" spans="1:34" ht="51" x14ac:dyDescent="0.25">
      <c r="B13" s="174"/>
      <c r="C13" s="176"/>
      <c r="D13" s="168"/>
      <c r="E13" s="168"/>
      <c r="F13" s="168"/>
      <c r="G13" s="168"/>
      <c r="H13" s="168"/>
      <c r="I13" s="168"/>
      <c r="J13" s="168"/>
      <c r="K13" s="168"/>
      <c r="L13" s="23">
        <v>5.6</v>
      </c>
      <c r="M13" s="23">
        <v>5.6</v>
      </c>
      <c r="N13" s="23">
        <v>0.7</v>
      </c>
      <c r="O13" s="24">
        <v>0.8</v>
      </c>
      <c r="P13" s="25">
        <v>0.9</v>
      </c>
      <c r="Q13" s="29">
        <v>1</v>
      </c>
      <c r="R13" s="168"/>
      <c r="S13" s="30">
        <v>0.1</v>
      </c>
      <c r="T13" s="31">
        <v>0.2</v>
      </c>
      <c r="U13" s="31">
        <v>0.3</v>
      </c>
      <c r="V13" s="31">
        <v>0.1</v>
      </c>
      <c r="W13" s="166"/>
      <c r="X13" s="168"/>
      <c r="Y13" s="23">
        <v>10.4</v>
      </c>
      <c r="Z13" s="23">
        <v>5.6</v>
      </c>
      <c r="AA13" s="23"/>
      <c r="AB13" s="166"/>
      <c r="AC13" s="34" t="s">
        <v>20</v>
      </c>
      <c r="AD13" s="34" t="s">
        <v>21</v>
      </c>
      <c r="AE13" s="34" t="s">
        <v>22</v>
      </c>
      <c r="AF13" s="34" t="s">
        <v>23</v>
      </c>
      <c r="AG13" s="164"/>
      <c r="AH13" s="4"/>
    </row>
    <row r="14" spans="1:34" x14ac:dyDescent="0.25">
      <c r="B14" s="8"/>
      <c r="C14" s="9"/>
      <c r="D14" s="10">
        <v>0</v>
      </c>
      <c r="E14" s="10">
        <v>1</v>
      </c>
      <c r="F14" s="10">
        <v>2</v>
      </c>
      <c r="G14" s="10" t="s">
        <v>24</v>
      </c>
      <c r="H14" s="10" t="s">
        <v>25</v>
      </c>
      <c r="I14" s="10" t="s">
        <v>26</v>
      </c>
      <c r="J14" s="10" t="s">
        <v>27</v>
      </c>
      <c r="K14" s="26" t="s">
        <v>60</v>
      </c>
      <c r="L14" s="10" t="s">
        <v>61</v>
      </c>
      <c r="M14" s="10" t="s">
        <v>61</v>
      </c>
      <c r="N14" s="10" t="s">
        <v>62</v>
      </c>
      <c r="O14" s="10" t="s">
        <v>63</v>
      </c>
      <c r="P14" s="10" t="s">
        <v>63</v>
      </c>
      <c r="Q14" s="10" t="s">
        <v>63</v>
      </c>
      <c r="R14" s="10">
        <v>9</v>
      </c>
      <c r="S14" s="32" t="s">
        <v>163</v>
      </c>
      <c r="T14" s="32" t="s">
        <v>164</v>
      </c>
      <c r="U14" s="32" t="s">
        <v>165</v>
      </c>
      <c r="V14" s="32" t="s">
        <v>166</v>
      </c>
      <c r="W14" s="32" t="s">
        <v>64</v>
      </c>
      <c r="X14" s="10" t="s">
        <v>65</v>
      </c>
      <c r="Y14" s="10" t="s">
        <v>66</v>
      </c>
      <c r="Z14" s="10" t="s">
        <v>67</v>
      </c>
      <c r="AA14" s="10" t="s">
        <v>158</v>
      </c>
      <c r="AB14" s="10" t="s">
        <v>243</v>
      </c>
      <c r="AC14" s="10">
        <v>16</v>
      </c>
      <c r="AD14" s="32" t="s">
        <v>159</v>
      </c>
      <c r="AE14" s="32" t="s">
        <v>160</v>
      </c>
      <c r="AF14" s="32" t="s">
        <v>161</v>
      </c>
      <c r="AG14" s="10">
        <v>17</v>
      </c>
      <c r="AH14" s="4"/>
    </row>
    <row r="15" spans="1:34" x14ac:dyDescent="0.25">
      <c r="A15" s="1" t="s">
        <v>242</v>
      </c>
      <c r="B15" s="123">
        <v>1</v>
      </c>
      <c r="C15" s="123" t="s">
        <v>139</v>
      </c>
      <c r="D15" s="124">
        <v>1</v>
      </c>
      <c r="E15" s="125">
        <v>64.61</v>
      </c>
      <c r="F15" s="125">
        <f t="shared" ref="F15" si="0">E15*1192.91</f>
        <v>77073.915099999998</v>
      </c>
      <c r="G15" s="125">
        <f t="shared" ref="G15" si="1">+F15/60</f>
        <v>1284.5652516666667</v>
      </c>
      <c r="H15" s="125">
        <f t="shared" ref="H15" si="2">+F15*1.5%</f>
        <v>1156.1087264999999</v>
      </c>
      <c r="I15" s="125">
        <v>0</v>
      </c>
      <c r="J15" s="125">
        <f t="shared" ref="J15" si="3">+G15+H15+I15</f>
        <v>2440.6739781666665</v>
      </c>
      <c r="K15" s="125">
        <f>J15/12</f>
        <v>203.38949818055553</v>
      </c>
      <c r="L15" s="125"/>
      <c r="M15" s="125">
        <f t="shared" ref="M15" si="4">J15*(100%+5.6%)</f>
        <v>2577.3517209440001</v>
      </c>
      <c r="N15" s="125">
        <f>+K15*N13</f>
        <v>142.37264872638886</v>
      </c>
      <c r="O15" s="125">
        <v>113.86</v>
      </c>
      <c r="P15" s="125">
        <f>+N15*P13</f>
        <v>128.13538385374997</v>
      </c>
      <c r="Q15" s="125">
        <f>+N15*Q13</f>
        <v>142.37264872638886</v>
      </c>
      <c r="R15" s="125">
        <v>1069.5</v>
      </c>
      <c r="S15" s="125">
        <f>R15*S13</f>
        <v>106.95</v>
      </c>
      <c r="T15" s="125">
        <v>0</v>
      </c>
      <c r="U15" s="125">
        <v>0</v>
      </c>
      <c r="V15" s="125">
        <v>0</v>
      </c>
      <c r="W15" s="125">
        <v>106.95</v>
      </c>
      <c r="X15" s="125">
        <f>W15*12</f>
        <v>1283.4000000000001</v>
      </c>
      <c r="Y15" s="125">
        <v>0</v>
      </c>
      <c r="Z15" s="125">
        <v>0</v>
      </c>
      <c r="AA15" s="125">
        <v>0</v>
      </c>
      <c r="AB15" s="125">
        <f>X15/12</f>
        <v>106.95</v>
      </c>
      <c r="AC15" s="125">
        <f>K15</f>
        <v>203.38949818055553</v>
      </c>
      <c r="AD15" s="125">
        <f>AB15</f>
        <v>106.95</v>
      </c>
      <c r="AE15" s="125">
        <f>G15/12</f>
        <v>107.04710430555555</v>
      </c>
      <c r="AF15" s="127">
        <f>AE15/AC15*100</f>
        <v>52.631578947368418</v>
      </c>
      <c r="AG15" s="128">
        <f>AD15*AF15%</f>
        <v>56.289473684210527</v>
      </c>
      <c r="AH15" s="4"/>
    </row>
    <row r="16" spans="1:34" x14ac:dyDescent="0.25">
      <c r="B16" s="8"/>
      <c r="C16" s="177" t="s">
        <v>77</v>
      </c>
      <c r="D16" s="177"/>
      <c r="E16" s="16">
        <f>SUM(E15:E15)</f>
        <v>64.61</v>
      </c>
      <c r="F16" s="16">
        <f>SUM(F15:F15)</f>
        <v>77073.915099999998</v>
      </c>
      <c r="G16" s="16">
        <f>SUM(G15:G15)</f>
        <v>1284.5652516666667</v>
      </c>
      <c r="H16" s="16">
        <f>SUM(H15:H15)</f>
        <v>1156.1087264999999</v>
      </c>
      <c r="I16" s="63">
        <f>SUM(I15:I15)</f>
        <v>0</v>
      </c>
      <c r="J16" s="16">
        <f>SUM(J15:J15)</f>
        <v>2440.6739781666665</v>
      </c>
      <c r="K16" s="16">
        <f>SUM(K15:K15)</f>
        <v>203.38949818055553</v>
      </c>
      <c r="L16" s="16"/>
      <c r="M16" s="16">
        <f>SUM(M15:M15)</f>
        <v>2577.3517209440001</v>
      </c>
      <c r="N16" s="16">
        <f>SUM(N15:N15)</f>
        <v>142.37264872638886</v>
      </c>
      <c r="O16" s="16">
        <f>SUM(O15:O15)</f>
        <v>113.86</v>
      </c>
      <c r="P16" s="16">
        <f>SUM(P15:P15)</f>
        <v>128.13538385374997</v>
      </c>
      <c r="Q16" s="16">
        <f>SUM(Q15:Q15)</f>
        <v>142.37264872638886</v>
      </c>
      <c r="R16" s="16"/>
      <c r="S16" s="16">
        <f>SUM(S15:S15)</f>
        <v>106.95</v>
      </c>
      <c r="T16" s="16">
        <f>SUM(T15:T15)</f>
        <v>0</v>
      </c>
      <c r="U16" s="16">
        <f>SUM(U15:U15)</f>
        <v>0</v>
      </c>
      <c r="V16" s="16">
        <f>SUM(V15:V15)</f>
        <v>0</v>
      </c>
      <c r="W16" s="16">
        <f>SUM(W15:W15)</f>
        <v>106.95</v>
      </c>
      <c r="X16" s="16">
        <f>SUM(X15:X15)</f>
        <v>1283.4000000000001</v>
      </c>
      <c r="Y16" s="16">
        <f>SUM(Y15:Y15)</f>
        <v>0</v>
      </c>
      <c r="Z16" s="16">
        <f>SUM(Z15:Z15)</f>
        <v>0</v>
      </c>
      <c r="AA16" s="16">
        <f>SUM(AA15:AA15)</f>
        <v>0</v>
      </c>
      <c r="AB16" s="16">
        <f>SUM(AB15:AB15)</f>
        <v>106.95</v>
      </c>
      <c r="AC16" s="16">
        <f>SUM(AC15:AC15)</f>
        <v>203.38949818055553</v>
      </c>
      <c r="AD16" s="16">
        <f>SUM(AD15:AD15)</f>
        <v>106.95</v>
      </c>
      <c r="AE16" s="16">
        <f>SUM(AE15:AE15)</f>
        <v>107.04710430555555</v>
      </c>
      <c r="AF16" s="16">
        <f>SUM(AF15:AF15)</f>
        <v>52.631578947368418</v>
      </c>
      <c r="AG16" s="16">
        <f>SUM(AG15:AG15)</f>
        <v>56.289473684210527</v>
      </c>
      <c r="AH16" s="4"/>
    </row>
    <row r="17" spans="2:34" x14ac:dyDescent="0.25">
      <c r="B17" s="4"/>
      <c r="C17" s="56"/>
      <c r="D17" s="56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"/>
    </row>
    <row r="18" spans="2:34" x14ac:dyDescent="0.25">
      <c r="B18" s="4"/>
      <c r="C18" s="56"/>
      <c r="D18" s="56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"/>
    </row>
    <row r="19" spans="2:34" ht="15" x14ac:dyDescent="0.25">
      <c r="B19" s="4"/>
      <c r="C19" s="71"/>
      <c r="D19" s="72"/>
      <c r="E19" s="73" t="s">
        <v>149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5"/>
      <c r="W19" s="75"/>
      <c r="X19" s="142"/>
      <c r="Y19" s="142"/>
      <c r="Z19" s="142"/>
      <c r="AA19" s="142"/>
      <c r="AB19" s="142"/>
      <c r="AC19" s="142"/>
      <c r="AD19" s="73"/>
      <c r="AE19" s="73"/>
      <c r="AF19" s="73"/>
      <c r="AG19" s="44"/>
      <c r="AH19" s="4"/>
    </row>
    <row r="20" spans="2:34" ht="15" x14ac:dyDescent="0.25">
      <c r="B20" s="4"/>
      <c r="C20" s="4"/>
      <c r="D20" s="178" t="s">
        <v>150</v>
      </c>
      <c r="E20" s="178"/>
      <c r="F20" s="178"/>
      <c r="G20" s="73"/>
      <c r="H20" s="73"/>
      <c r="I20" s="73"/>
      <c r="J20" s="73"/>
      <c r="K20" s="75"/>
      <c r="L20" s="75"/>
      <c r="M20" s="75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142"/>
      <c r="Y20" s="142"/>
      <c r="Z20" s="142"/>
      <c r="AA20" s="142"/>
      <c r="AB20" s="142"/>
      <c r="AC20" s="142"/>
      <c r="AD20" s="73"/>
      <c r="AE20" s="73"/>
      <c r="AF20" s="73"/>
      <c r="AG20" s="44"/>
      <c r="AH20" s="4"/>
    </row>
    <row r="21" spans="2:34" ht="15" x14ac:dyDescent="0.25">
      <c r="B21" s="4"/>
      <c r="C21" s="4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5"/>
      <c r="X21" s="142"/>
      <c r="Y21" s="142"/>
      <c r="Z21" s="142"/>
      <c r="AA21" s="142"/>
      <c r="AB21" s="142"/>
      <c r="AC21" s="142"/>
      <c r="AD21" s="73"/>
      <c r="AE21" s="73"/>
      <c r="AF21" s="73"/>
      <c r="AG21" s="44"/>
      <c r="AH21" s="4"/>
    </row>
    <row r="22" spans="2:34" ht="15" x14ac:dyDescent="0.25">
      <c r="B22" s="4"/>
      <c r="C22" s="4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178" t="s">
        <v>151</v>
      </c>
      <c r="U22" s="178"/>
      <c r="V22" s="178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44"/>
      <c r="AH22" s="4"/>
    </row>
    <row r="23" spans="2:34" ht="15" x14ac:dyDescent="0.25">
      <c r="B23" s="4"/>
      <c r="C23" s="4"/>
      <c r="D23" s="73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3"/>
      <c r="S23" s="75"/>
      <c r="T23" s="178" t="s">
        <v>152</v>
      </c>
      <c r="U23" s="178"/>
      <c r="V23" s="178"/>
      <c r="W23" s="73"/>
      <c r="X23" s="73"/>
      <c r="Y23" s="73"/>
      <c r="Z23" s="73"/>
      <c r="AA23" s="73"/>
      <c r="AB23" s="73"/>
      <c r="AC23" s="73"/>
      <c r="AD23" s="73"/>
      <c r="AE23" s="178" t="s">
        <v>153</v>
      </c>
      <c r="AF23" s="178"/>
      <c r="AG23" s="44"/>
      <c r="AH23" s="4"/>
    </row>
    <row r="24" spans="2:34" ht="15" x14ac:dyDescent="0.25">
      <c r="B24" s="4"/>
      <c r="C24" s="4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172" t="s">
        <v>154</v>
      </c>
      <c r="AF24" s="172"/>
      <c r="AG24" s="44"/>
      <c r="AH24" s="4"/>
    </row>
    <row r="25" spans="2:34" ht="14.25" x14ac:dyDescent="0.25">
      <c r="B25" s="4"/>
      <c r="D25" s="76"/>
      <c r="E25" s="76"/>
      <c r="F25" s="81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8"/>
      <c r="AF25" s="78"/>
      <c r="AG25" s="44"/>
      <c r="AH25" s="4"/>
    </row>
    <row r="26" spans="2:34" x14ac:dyDescent="0.25">
      <c r="B26" s="4"/>
      <c r="C26" s="56"/>
      <c r="D26" s="56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"/>
    </row>
    <row r="27" spans="2:34" x14ac:dyDescent="0.25">
      <c r="B27" s="4"/>
      <c r="C27" s="56"/>
      <c r="D27" s="56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"/>
    </row>
    <row r="28" spans="2:34" x14ac:dyDescent="0.25">
      <c r="B28" s="4"/>
      <c r="C28" s="56"/>
      <c r="D28" s="56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"/>
    </row>
    <row r="29" spans="2:34" x14ac:dyDescent="0.25">
      <c r="B29" s="4"/>
      <c r="C29" s="56"/>
      <c r="D29" s="56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"/>
    </row>
    <row r="30" spans="2:34" x14ac:dyDescent="0.25">
      <c r="B30" s="4"/>
      <c r="C30" s="56"/>
      <c r="D30" s="56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"/>
    </row>
    <row r="31" spans="2:34" x14ac:dyDescent="0.25">
      <c r="B31" s="4"/>
      <c r="C31" s="56"/>
      <c r="D31" s="56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"/>
    </row>
    <row r="32" spans="2:34" x14ac:dyDescent="0.25">
      <c r="B32" s="4"/>
      <c r="C32" s="56"/>
      <c r="D32" s="56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"/>
    </row>
    <row r="33" spans="2:34" x14ac:dyDescent="0.25">
      <c r="B33" s="4"/>
      <c r="C33" s="56"/>
      <c r="D33" s="5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"/>
    </row>
    <row r="34" spans="2:34" x14ac:dyDescent="0.25">
      <c r="B34" s="4"/>
      <c r="C34" s="56"/>
      <c r="D34" s="56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"/>
    </row>
    <row r="35" spans="2:34" x14ac:dyDescent="0.25">
      <c r="B35" s="4"/>
      <c r="C35" s="56"/>
      <c r="D35" s="56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"/>
    </row>
    <row r="36" spans="2:34" x14ac:dyDescent="0.25">
      <c r="B36" s="4"/>
      <c r="C36" s="56"/>
      <c r="D36" s="56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"/>
    </row>
    <row r="37" spans="2:34" x14ac:dyDescent="0.25">
      <c r="B37" s="4"/>
      <c r="C37" s="56"/>
      <c r="D37" s="56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"/>
    </row>
    <row r="38" spans="2:34" x14ac:dyDescent="0.25">
      <c r="B38" s="4"/>
      <c r="C38" s="56"/>
      <c r="D38" s="56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"/>
    </row>
    <row r="39" spans="2:34" x14ac:dyDescent="0.25">
      <c r="B39" s="4"/>
      <c r="C39" s="56"/>
      <c r="D39" s="56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"/>
    </row>
    <row r="40" spans="2:34" x14ac:dyDescent="0.25">
      <c r="B40" s="4"/>
      <c r="C40" s="56"/>
      <c r="D40" s="56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"/>
    </row>
    <row r="41" spans="2:34" x14ac:dyDescent="0.25">
      <c r="B41" s="4"/>
      <c r="C41" s="56"/>
      <c r="D41" s="56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"/>
    </row>
    <row r="42" spans="2:34" x14ac:dyDescent="0.25">
      <c r="B42" s="4"/>
      <c r="C42" s="56"/>
      <c r="D42" s="56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"/>
    </row>
    <row r="43" spans="2:34" x14ac:dyDescent="0.25">
      <c r="B43" s="4"/>
      <c r="C43" s="56"/>
      <c r="D43" s="56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"/>
    </row>
    <row r="44" spans="2:34" x14ac:dyDescent="0.25">
      <c r="B44" s="4"/>
      <c r="C44" s="56"/>
      <c r="D44" s="56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"/>
    </row>
    <row r="45" spans="2:34" x14ac:dyDescent="0.25">
      <c r="B45" s="4"/>
      <c r="C45" s="56"/>
      <c r="D45" s="56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"/>
    </row>
    <row r="46" spans="2:34" x14ac:dyDescent="0.25">
      <c r="B46" s="4"/>
      <c r="C46" s="56"/>
      <c r="D46" s="56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"/>
    </row>
    <row r="47" spans="2:34" x14ac:dyDescent="0.25">
      <c r="B47" s="4"/>
      <c r="C47" s="56"/>
      <c r="D47" s="56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"/>
    </row>
    <row r="48" spans="2:34" x14ac:dyDescent="0.25">
      <c r="B48" s="4"/>
      <c r="C48" s="56"/>
      <c r="D48" s="56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"/>
    </row>
    <row r="49" spans="2:34" x14ac:dyDescent="0.25">
      <c r="B49" s="4"/>
      <c r="C49" s="56"/>
      <c r="D49" s="56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"/>
    </row>
    <row r="50" spans="2:34" x14ac:dyDescent="0.25">
      <c r="B50" s="4"/>
      <c r="C50" s="56"/>
      <c r="D50" s="56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"/>
    </row>
    <row r="51" spans="2:34" x14ac:dyDescent="0.25">
      <c r="B51" s="4"/>
      <c r="C51" s="56"/>
      <c r="D51" s="56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"/>
    </row>
    <row r="52" spans="2:34" x14ac:dyDescent="0.25">
      <c r="B52" s="4"/>
      <c r="C52" s="56"/>
      <c r="D52" s="56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"/>
    </row>
    <row r="53" spans="2:34" x14ac:dyDescent="0.25">
      <c r="B53" s="4"/>
      <c r="C53" s="56"/>
      <c r="D53" s="56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"/>
    </row>
    <row r="54" spans="2:34" x14ac:dyDescent="0.25">
      <c r="B54" s="4"/>
      <c r="C54" s="56"/>
      <c r="D54" s="56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"/>
    </row>
    <row r="55" spans="2:34" x14ac:dyDescent="0.25">
      <c r="B55" s="4"/>
      <c r="C55" s="56"/>
      <c r="D55" s="56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"/>
    </row>
    <row r="56" spans="2:34" x14ac:dyDescent="0.25">
      <c r="B56" s="4"/>
      <c r="C56" s="56"/>
      <c r="D56" s="56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"/>
    </row>
    <row r="57" spans="2:34" x14ac:dyDescent="0.25">
      <c r="B57" s="4"/>
      <c r="C57" s="56"/>
      <c r="D57" s="56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"/>
    </row>
    <row r="58" spans="2:34" x14ac:dyDescent="0.25">
      <c r="B58" s="4"/>
      <c r="C58" s="56"/>
      <c r="D58" s="56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"/>
    </row>
    <row r="59" spans="2:34" x14ac:dyDescent="0.25">
      <c r="B59" s="4"/>
      <c r="C59" s="56"/>
      <c r="D59" s="56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"/>
    </row>
    <row r="60" spans="2:34" x14ac:dyDescent="0.25">
      <c r="B60" s="4"/>
      <c r="C60" s="56"/>
      <c r="D60" s="56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"/>
    </row>
    <row r="61" spans="2:34" x14ac:dyDescent="0.25">
      <c r="B61" s="4"/>
      <c r="C61" s="56"/>
      <c r="D61" s="56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"/>
    </row>
    <row r="62" spans="2:34" x14ac:dyDescent="0.25">
      <c r="B62" s="4"/>
      <c r="C62" s="56"/>
      <c r="D62" s="56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"/>
    </row>
    <row r="63" spans="2:34" x14ac:dyDescent="0.25">
      <c r="B63" s="4"/>
      <c r="C63" s="56"/>
      <c r="D63" s="56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"/>
    </row>
    <row r="64" spans="2:34" x14ac:dyDescent="0.25">
      <c r="B64" s="4"/>
      <c r="C64" s="56"/>
      <c r="D64" s="56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"/>
    </row>
    <row r="65" spans="2:34" x14ac:dyDescent="0.25">
      <c r="B65" s="4"/>
      <c r="C65" s="56"/>
      <c r="D65" s="56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"/>
    </row>
    <row r="66" spans="2:34" x14ac:dyDescent="0.25">
      <c r="B66" s="4"/>
      <c r="C66" s="56"/>
      <c r="D66" s="56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"/>
    </row>
    <row r="67" spans="2:34" x14ac:dyDescent="0.25">
      <c r="B67" s="4"/>
      <c r="C67" s="56"/>
      <c r="D67" s="56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"/>
    </row>
    <row r="68" spans="2:34" x14ac:dyDescent="0.25">
      <c r="B68" s="4"/>
      <c r="C68" s="56"/>
      <c r="D68" s="56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"/>
    </row>
    <row r="69" spans="2:34" x14ac:dyDescent="0.25">
      <c r="B69" s="4"/>
      <c r="C69" s="56"/>
      <c r="D69" s="56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"/>
    </row>
    <row r="70" spans="2:34" x14ac:dyDescent="0.25">
      <c r="B70" s="4"/>
      <c r="C70" s="56"/>
      <c r="D70" s="56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"/>
    </row>
    <row r="71" spans="2:34" x14ac:dyDescent="0.25">
      <c r="B71" s="4"/>
      <c r="C71" s="56"/>
      <c r="D71" s="56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"/>
    </row>
    <row r="72" spans="2:34" x14ac:dyDescent="0.25">
      <c r="B72" s="4"/>
      <c r="C72" s="56"/>
      <c r="D72" s="56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"/>
    </row>
    <row r="73" spans="2:34" x14ac:dyDescent="0.25">
      <c r="B73" s="4"/>
      <c r="C73" s="56"/>
      <c r="D73" s="56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"/>
    </row>
    <row r="74" spans="2:34" x14ac:dyDescent="0.25">
      <c r="B74" s="4"/>
      <c r="C74" s="56"/>
      <c r="D74" s="56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"/>
    </row>
    <row r="75" spans="2:34" x14ac:dyDescent="0.25">
      <c r="B75" s="4"/>
      <c r="C75" s="56"/>
      <c r="D75" s="56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"/>
    </row>
    <row r="76" spans="2:34" x14ac:dyDescent="0.25">
      <c r="B76" s="4"/>
      <c r="C76" s="56"/>
      <c r="D76" s="56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"/>
    </row>
    <row r="77" spans="2:34" x14ac:dyDescent="0.25">
      <c r="B77" s="4"/>
      <c r="C77" s="56"/>
      <c r="D77" s="56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"/>
    </row>
    <row r="78" spans="2:34" x14ac:dyDescent="0.25">
      <c r="B78" s="4"/>
      <c r="C78" s="56"/>
      <c r="D78" s="56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"/>
    </row>
    <row r="79" spans="2:34" x14ac:dyDescent="0.25">
      <c r="B79" s="4"/>
      <c r="C79" s="56"/>
      <c r="D79" s="56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"/>
    </row>
    <row r="80" spans="2:34" x14ac:dyDescent="0.25">
      <c r="B80" s="4"/>
      <c r="C80" s="56"/>
      <c r="D80" s="56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"/>
    </row>
    <row r="81" spans="2:34" x14ac:dyDescent="0.25">
      <c r="B81" s="4"/>
      <c r="C81" s="56"/>
      <c r="D81" s="56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"/>
    </row>
    <row r="82" spans="2:34" x14ac:dyDescent="0.25">
      <c r="B82" s="4"/>
      <c r="C82" s="56"/>
      <c r="D82" s="56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"/>
    </row>
    <row r="83" spans="2:34" x14ac:dyDescent="0.25">
      <c r="B83" s="4"/>
      <c r="C83" s="56"/>
      <c r="D83" s="56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"/>
    </row>
    <row r="84" spans="2:34" x14ac:dyDescent="0.25">
      <c r="B84" s="4"/>
      <c r="C84" s="56"/>
      <c r="D84" s="56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"/>
    </row>
    <row r="85" spans="2:34" x14ac:dyDescent="0.25">
      <c r="B85" s="4"/>
      <c r="C85" s="56"/>
      <c r="D85" s="56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"/>
    </row>
    <row r="86" spans="2:34" x14ac:dyDescent="0.25">
      <c r="B86" s="4"/>
      <c r="C86" s="56"/>
      <c r="D86" s="56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"/>
    </row>
    <row r="87" spans="2:34" x14ac:dyDescent="0.25">
      <c r="B87" s="4"/>
      <c r="C87" s="56"/>
      <c r="D87" s="56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"/>
    </row>
    <row r="88" spans="2:34" x14ac:dyDescent="0.25">
      <c r="B88" s="4"/>
      <c r="C88" s="56"/>
      <c r="D88" s="56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"/>
    </row>
    <row r="89" spans="2:34" x14ac:dyDescent="0.25">
      <c r="B89" s="4"/>
      <c r="C89" s="56"/>
      <c r="D89" s="56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"/>
    </row>
    <row r="90" spans="2:34" x14ac:dyDescent="0.25">
      <c r="B90" s="4"/>
      <c r="C90" s="56"/>
      <c r="D90" s="56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"/>
    </row>
    <row r="91" spans="2:34" x14ac:dyDescent="0.25">
      <c r="B91" s="4"/>
      <c r="C91" s="56"/>
      <c r="D91" s="56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"/>
    </row>
    <row r="92" spans="2:34" x14ac:dyDescent="0.25">
      <c r="B92" s="4"/>
      <c r="C92" s="56"/>
      <c r="D92" s="56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"/>
    </row>
    <row r="93" spans="2:34" x14ac:dyDescent="0.25">
      <c r="B93" s="4"/>
      <c r="C93" s="56"/>
      <c r="D93" s="56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"/>
    </row>
    <row r="94" spans="2:34" x14ac:dyDescent="0.25">
      <c r="B94" s="4"/>
      <c r="C94" s="56"/>
      <c r="D94" s="56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"/>
    </row>
    <row r="95" spans="2:34" x14ac:dyDescent="0.25">
      <c r="B95" s="4"/>
      <c r="C95" s="56"/>
      <c r="D95" s="56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"/>
    </row>
    <row r="96" spans="2:34" x14ac:dyDescent="0.25">
      <c r="B96" s="4"/>
      <c r="C96" s="56"/>
      <c r="D96" s="56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"/>
    </row>
    <row r="97" spans="2:34" x14ac:dyDescent="0.25">
      <c r="B97" s="4"/>
      <c r="C97" s="56"/>
      <c r="D97" s="56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"/>
    </row>
    <row r="98" spans="2:34" x14ac:dyDescent="0.25">
      <c r="B98" s="4"/>
      <c r="C98" s="56"/>
      <c r="D98" s="56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"/>
    </row>
    <row r="99" spans="2:34" x14ac:dyDescent="0.25">
      <c r="B99" s="4"/>
      <c r="C99" s="56"/>
      <c r="D99" s="56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"/>
    </row>
    <row r="100" spans="2:34" x14ac:dyDescent="0.25">
      <c r="B100" s="4"/>
      <c r="C100" s="56"/>
      <c r="D100" s="56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"/>
    </row>
    <row r="101" spans="2:34" x14ac:dyDescent="0.25">
      <c r="B101" s="4"/>
      <c r="C101" s="56"/>
      <c r="D101" s="56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"/>
    </row>
    <row r="102" spans="2:34" x14ac:dyDescent="0.25">
      <c r="B102" s="4"/>
      <c r="C102" s="56"/>
      <c r="D102" s="56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"/>
    </row>
    <row r="103" spans="2:34" x14ac:dyDescent="0.25">
      <c r="B103" s="4"/>
      <c r="C103" s="56"/>
      <c r="D103" s="56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"/>
    </row>
    <row r="104" spans="2:34" x14ac:dyDescent="0.25">
      <c r="B104" s="4"/>
      <c r="C104" s="56"/>
      <c r="D104" s="56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"/>
    </row>
    <row r="105" spans="2:34" x14ac:dyDescent="0.25">
      <c r="B105" s="4"/>
      <c r="C105" s="56"/>
      <c r="D105" s="56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"/>
    </row>
    <row r="106" spans="2:34" x14ac:dyDescent="0.25">
      <c r="B106" s="4"/>
      <c r="C106" s="56"/>
      <c r="D106" s="56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"/>
    </row>
    <row r="107" spans="2:34" x14ac:dyDescent="0.25">
      <c r="B107" s="4"/>
      <c r="C107" s="56"/>
      <c r="D107" s="56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"/>
    </row>
    <row r="108" spans="2:34" x14ac:dyDescent="0.25">
      <c r="B108" s="4"/>
      <c r="C108" s="56"/>
      <c r="D108" s="56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"/>
    </row>
    <row r="109" spans="2:34" x14ac:dyDescent="0.25">
      <c r="B109" s="4"/>
      <c r="C109" s="56"/>
      <c r="D109" s="56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"/>
    </row>
    <row r="110" spans="2:34" x14ac:dyDescent="0.25">
      <c r="B110" s="4"/>
      <c r="C110" s="56"/>
      <c r="D110" s="56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"/>
    </row>
    <row r="111" spans="2:34" x14ac:dyDescent="0.25">
      <c r="B111" s="4"/>
      <c r="C111" s="56"/>
      <c r="D111" s="56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"/>
    </row>
    <row r="112" spans="2:34" x14ac:dyDescent="0.25">
      <c r="B112" s="4"/>
      <c r="C112" s="56"/>
      <c r="D112" s="56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"/>
    </row>
    <row r="113" spans="1:34" x14ac:dyDescent="0.25">
      <c r="B113" s="4"/>
      <c r="C113" s="56"/>
      <c r="D113" s="56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"/>
    </row>
    <row r="114" spans="1:34" x14ac:dyDescent="0.25">
      <c r="B114" s="4"/>
      <c r="C114" s="56"/>
      <c r="D114" s="56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"/>
    </row>
    <row r="115" spans="1:34" x14ac:dyDescent="0.25">
      <c r="B115" s="4"/>
      <c r="C115" s="56"/>
      <c r="D115" s="56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"/>
    </row>
    <row r="116" spans="1:34" x14ac:dyDescent="0.25">
      <c r="B116" s="4"/>
      <c r="C116" s="56"/>
      <c r="D116" s="56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"/>
    </row>
    <row r="117" spans="1:34" ht="15" x14ac:dyDescent="0.25">
      <c r="B117" s="28"/>
      <c r="C117" s="56"/>
      <c r="D117" s="56"/>
      <c r="E117" s="56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"/>
    </row>
    <row r="118" spans="1:34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 s="4"/>
    </row>
    <row r="119" spans="1:34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 s="4"/>
    </row>
    <row r="120" spans="1:34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 s="4"/>
    </row>
    <row r="121" spans="1:34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 s="4"/>
    </row>
    <row r="122" spans="1:34" ht="139.9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 s="4"/>
    </row>
    <row r="123" spans="1:34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 s="4"/>
    </row>
    <row r="124" spans="1:34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 s="4"/>
    </row>
    <row r="125" spans="1:34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 s="4"/>
    </row>
    <row r="126" spans="1:34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 s="4"/>
    </row>
    <row r="127" spans="1:34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 s="4"/>
    </row>
    <row r="128" spans="1:34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 s="4"/>
    </row>
    <row r="129" spans="1:34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 s="4"/>
    </row>
    <row r="130" spans="1:34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 s="4"/>
    </row>
    <row r="131" spans="1:34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 s="4"/>
    </row>
    <row r="132" spans="1:34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 s="4"/>
    </row>
    <row r="133" spans="1:34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 s="4"/>
    </row>
    <row r="134" spans="1:3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B137" s="4"/>
      <c r="C137" s="179"/>
      <c r="D137" s="179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3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B138" s="4"/>
      <c r="AG138" s="4"/>
      <c r="AH138" s="4"/>
    </row>
    <row r="139" spans="1:34" x14ac:dyDescent="0.25">
      <c r="B139" s="4"/>
      <c r="AG139" s="4"/>
      <c r="AH139" s="4"/>
    </row>
    <row r="140" spans="1:34" x14ac:dyDescent="0.25">
      <c r="B140" s="4"/>
      <c r="AG140" s="4"/>
      <c r="AH140" s="4"/>
    </row>
    <row r="141" spans="1:34" x14ac:dyDescent="0.25">
      <c r="B141" s="4"/>
      <c r="AG141" s="4"/>
      <c r="AH141" s="4"/>
    </row>
    <row r="142" spans="1:34" x14ac:dyDescent="0.25">
      <c r="B142" s="4"/>
      <c r="AG142" s="4"/>
      <c r="AH142" s="4"/>
    </row>
    <row r="143" spans="1:34" x14ac:dyDescent="0.25">
      <c r="B143" s="4"/>
      <c r="AG143" s="4"/>
      <c r="AH143" s="4"/>
    </row>
    <row r="145" spans="4:32" ht="14.25" x14ac:dyDescent="0.25"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</row>
    <row r="161" spans="2:33" ht="15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2:33" ht="15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2:33" ht="15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2:33" ht="15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2:33" ht="95.1" customHeigh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2:33" ht="15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2:33" ht="15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2:33" ht="15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2:33" ht="15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2:33" ht="15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2:33" ht="15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2:33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5" spans="2:33" x14ac:dyDescent="0.25">
      <c r="C175" s="180"/>
      <c r="D175" s="180"/>
      <c r="V175" s="78"/>
    </row>
    <row r="176" spans="2:33" ht="15" x14ac:dyDescent="0.25">
      <c r="C176" s="79"/>
      <c r="D176" s="80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81"/>
      <c r="W176" s="76"/>
      <c r="X176" s="143"/>
      <c r="Y176" s="143"/>
      <c r="Z176" s="143"/>
      <c r="AA176" s="143"/>
      <c r="AB176" s="143"/>
      <c r="AC176" s="143"/>
      <c r="AD176" s="76"/>
      <c r="AE176" s="76"/>
      <c r="AF176" s="76"/>
      <c r="AG176" s="76"/>
    </row>
    <row r="177" spans="4:33" ht="14.25" x14ac:dyDescent="0.25">
      <c r="D177" s="172"/>
      <c r="E177" s="172"/>
      <c r="F177" s="172"/>
      <c r="G177" s="76"/>
      <c r="H177" s="76"/>
      <c r="I177" s="76"/>
      <c r="J177" s="76"/>
      <c r="K177" s="81"/>
      <c r="L177" s="81"/>
      <c r="M177" s="81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143"/>
      <c r="Y177" s="143"/>
      <c r="Z177" s="143"/>
      <c r="AA177" s="143"/>
      <c r="AB177" s="143"/>
      <c r="AC177" s="143"/>
      <c r="AD177" s="76"/>
      <c r="AE177" s="76"/>
      <c r="AF177" s="76"/>
      <c r="AG177" s="76"/>
    </row>
    <row r="178" spans="4:33" ht="14.25" x14ac:dyDescent="0.25"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143"/>
      <c r="Y178" s="143"/>
      <c r="Z178" s="143"/>
      <c r="AA178" s="143"/>
      <c r="AB178" s="143"/>
      <c r="AC178" s="143"/>
      <c r="AD178" s="76"/>
      <c r="AE178" s="76"/>
      <c r="AF178" s="76"/>
      <c r="AG178" s="76"/>
    </row>
    <row r="179" spans="4:33" ht="14.25" x14ac:dyDescent="0.25"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172"/>
      <c r="U179" s="172"/>
      <c r="V179" s="172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</row>
    <row r="180" spans="4:33" ht="14.25" x14ac:dyDescent="0.25"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172"/>
      <c r="U180" s="172"/>
      <c r="V180" s="172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</row>
    <row r="181" spans="4:33" ht="14.25" x14ac:dyDescent="0.25"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172"/>
      <c r="AF181" s="172"/>
      <c r="AG181" s="76"/>
    </row>
    <row r="182" spans="4:33" ht="14.25" x14ac:dyDescent="0.25"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172"/>
      <c r="AF182" s="172"/>
      <c r="AG182" s="76"/>
    </row>
    <row r="183" spans="4:33" ht="14.25" x14ac:dyDescent="0.25"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</row>
    <row r="184" spans="4:33" ht="14.25" x14ac:dyDescent="0.25"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</row>
    <row r="191" spans="4:33" x14ac:dyDescent="0.25">
      <c r="M191" s="1" t="s">
        <v>155</v>
      </c>
    </row>
  </sheetData>
  <mergeCells count="33">
    <mergeCell ref="C175:D175"/>
    <mergeCell ref="D177:F177"/>
    <mergeCell ref="T179:V179"/>
    <mergeCell ref="T180:V180"/>
    <mergeCell ref="AE181:AF181"/>
    <mergeCell ref="AE182:AF182"/>
    <mergeCell ref="D20:F20"/>
    <mergeCell ref="T22:V22"/>
    <mergeCell ref="T23:V23"/>
    <mergeCell ref="AE23:AF23"/>
    <mergeCell ref="AE24:AF24"/>
    <mergeCell ref="C137:D137"/>
    <mergeCell ref="AG12:AG13"/>
    <mergeCell ref="C16:D16"/>
    <mergeCell ref="R12:R13"/>
    <mergeCell ref="S12:V12"/>
    <mergeCell ref="W12:W13"/>
    <mergeCell ref="X12:X13"/>
    <mergeCell ref="AB12:AB13"/>
    <mergeCell ref="AC12:AF12"/>
    <mergeCell ref="G12:G13"/>
    <mergeCell ref="H12:H13"/>
    <mergeCell ref="I12:I13"/>
    <mergeCell ref="J12:J13"/>
    <mergeCell ref="K12:K13"/>
    <mergeCell ref="O12:Q12"/>
    <mergeCell ref="C8:H8"/>
    <mergeCell ref="C10:D10"/>
    <mergeCell ref="B12:B13"/>
    <mergeCell ref="C12:C13"/>
    <mergeCell ref="D12:D13"/>
    <mergeCell ref="E12:E13"/>
    <mergeCell ref="F12:F13"/>
  </mergeCells>
  <pageMargins left="0.74803149606299213" right="0.74803149606299213" top="0.98425196850393704" bottom="0.98425196850393704" header="0.51181102362204722" footer="0.51181102362204722"/>
  <pageSetup scale="30" fitToHeight="0" orientation="landscape" useFirstPageNumber="1" r:id="rId1"/>
  <headerFooter scaleWithDoc="0"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CHIRIA 2024 10.4 (2)</vt:lpstr>
      <vt:lpstr>CHIRIA 2024 10.4</vt:lpstr>
      <vt:lpstr>Calcul chirie 2024 (supr. m</vt:lpstr>
      <vt:lpstr>Chirii_ 2026</vt:lpstr>
      <vt:lpstr>Chirii_ 2026_Novac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SIADPP-LM</cp:lastModifiedBy>
  <cp:lastPrinted>2026-01-14T07:50:30Z</cp:lastPrinted>
  <dcterms:created xsi:type="dcterms:W3CDTF">2016-09-12T08:47:00Z</dcterms:created>
  <dcterms:modified xsi:type="dcterms:W3CDTF">2026-01-15T09:05:36Z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2013BB7590C34328BD130ADF84031143_13</vt:lpwstr>
  </property>
  <property fmtid="{D5CDD505-2E9C-101B-9397-08002B2CF9AE}" pid="3" name="KSOProductBuildVer">
    <vt:lpwstr>1033-12.2.0.18607</vt:lpwstr>
  </property>
</Properties>
</file>